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7.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10.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11.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d.docs.live.net/98a6ade200dd9c71/Documents/DWA Board/"/>
    </mc:Choice>
  </mc:AlternateContent>
  <xr:revisionPtr revIDLastSave="210" documentId="11_0081452F6F7BF8B9F2B1D5423F889BF3324D381C" xr6:coauthVersionLast="47" xr6:coauthVersionMax="47" xr10:uidLastSave="{699BC50D-C576-4AAE-AEDE-E0BD60C234B0}"/>
  <bookViews>
    <workbookView xWindow="790" yWindow="20" windowWidth="26570" windowHeight="17620" tabRatio="880" activeTab="3" xr2:uid="{00000000-000D-0000-FFFF-FFFF00000000}"/>
  </bookViews>
  <sheets>
    <sheet name="Summary Budget" sheetId="21" r:id="rId1"/>
    <sheet name="2024 Ops DRAFT Budget" sheetId="26" r:id="rId2"/>
    <sheet name="2023 FCST Supporting Data" sheetId="25" r:id="rId3"/>
    <sheet name="2024 Capital DRAFT Budget" sheetId="27" r:id="rId4"/>
    <sheet name="CAP IMPROVE Actl 2019-2022" sheetId="13" r:id="rId5"/>
    <sheet name="2023 Ops Budget" sheetId="18" r:id="rId6"/>
    <sheet name="2023 Capital DRAFT Budget" sheetId="22" r:id="rId7"/>
    <sheet name="Monthly Act Capital funds 2022" sheetId="20" r:id="rId8"/>
    <sheet name="OPS Actl 2019-2022" sheetId="11" r:id="rId9"/>
    <sheet name="OPS Actl 21-22" sheetId="9" r:id="rId10"/>
    <sheet name="2020 Budget" sheetId="5" r:id="rId11"/>
    <sheet name="2021 Budget" sheetId="3" r:id="rId12"/>
    <sheet name="2022 Forecast Fix" sheetId="17" r:id="rId13"/>
    <sheet name="2022 Forecast Worksheet" sheetId="15" r:id="rId14"/>
  </sheets>
  <externalReferences>
    <externalReference r:id="rId15"/>
  </externalReferences>
  <definedNames>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'2024 Capital DRAFT Budget'!$B$2:$Q$85</definedName>
    <definedName name="_xlnm.Print_Area" localSheetId="1">'2024 Ops DRAFT Budget'!$A$1:$AC$61</definedName>
    <definedName name="_xlnm.Print_Area" localSheetId="0">'Summary Budget'!$B$1:$G$65</definedName>
    <definedName name="_xlnm.Print_Titles" localSheetId="10">'2020 Budget'!$A:$G,'2020 Budget'!$1:$2</definedName>
    <definedName name="_xlnm.Print_Titles" localSheetId="11">'2021 Budget'!$A:$G,'2021 Budget'!$1:$2</definedName>
    <definedName name="_xlnm.Print_Titles" localSheetId="12">'2022 Forecast Fix'!$A:$G,'2022 Forecast Fix'!$1:$2</definedName>
    <definedName name="_xlnm.Print_Titles" localSheetId="13">'2022 Forecast Worksheet'!$A:$G,'2022 Forecast Worksheet'!$1:$1</definedName>
    <definedName name="_xlnm.Print_Titles" localSheetId="6">'2023 Capital DRAFT Budget'!$B:$F,'2023 Capital DRAFT Budget'!$3:$3</definedName>
    <definedName name="_xlnm.Print_Titles" localSheetId="5">'2023 Ops Budget'!$A:$G,'2023 Ops Budget'!$2:$3</definedName>
    <definedName name="_xlnm.Print_Titles" localSheetId="3">'2024 Capital DRAFT Budget'!$B:$F,'2024 Capital DRAFT Budget'!$3:$3</definedName>
    <definedName name="_xlnm.Print_Titles" localSheetId="4">'CAP IMPROVE Actl 2019-2022'!$A:$G,'CAP IMPROVE Actl 2019-2022'!$1:$1</definedName>
    <definedName name="_xlnm.Print_Titles" localSheetId="7">'Monthly Act Capital funds 2022'!$A:$G,'Monthly Act Capital funds 2022'!$1:$1</definedName>
    <definedName name="_xlnm.Print_Titles" localSheetId="8">'OPS Actl 2019-2022'!$A:$G,'OPS Actl 2019-2022'!$1:$1</definedName>
    <definedName name="_xlnm.Print_Titles" localSheetId="9">'OPS Actl 21-22'!$A:$G,'OPS Actl 21-22'!$1:$2</definedName>
    <definedName name="QB_COLUMN_222100" localSheetId="10" hidden="1">'2020 Budget'!$H$1</definedName>
    <definedName name="QB_COLUMN_222100" localSheetId="11" hidden="1">'2021 Budget'!$H$1</definedName>
    <definedName name="QB_COLUMN_222100" localSheetId="12" hidden="1">'2022 Forecast Fix'!$H$1</definedName>
    <definedName name="QB_COLUMN_24210" localSheetId="6" hidden="1">'2023 Capital DRAFT Budget'!$P$3</definedName>
    <definedName name="QB_COLUMN_24210" localSheetId="3" hidden="1">'2024 Capital DRAFT Budget'!$Q$3</definedName>
    <definedName name="QB_COLUMN_242100" localSheetId="10" hidden="1">'2020 Budget'!$N$1</definedName>
    <definedName name="QB_COLUMN_242100" localSheetId="11" hidden="1">'2021 Budget'!$N$1</definedName>
    <definedName name="QB_COLUMN_242100" localSheetId="12" hidden="1">'2022 Forecast Fix'!#REF!</definedName>
    <definedName name="QB_COLUMN_25210" localSheetId="6" hidden="1">'2023 Capital DRAFT Budget'!$K$3</definedName>
    <definedName name="QB_COLUMN_25210" localSheetId="3" hidden="1">'2024 Capital DRAFT Budget'!$K$3</definedName>
    <definedName name="QB_COLUMN_252100" localSheetId="10" hidden="1">'2020 Budget'!$K$1</definedName>
    <definedName name="QB_COLUMN_252100" localSheetId="11" hidden="1">'2021 Budget'!$K$1</definedName>
    <definedName name="QB_COLUMN_252100" localSheetId="12" hidden="1">'2022 Forecast Fix'!#REF!</definedName>
    <definedName name="QB_COLUMN_290" localSheetId="5" hidden="1">'2023 Ops Budget'!#REF!</definedName>
    <definedName name="QB_COLUMN_290" localSheetId="9" hidden="1">'OPS Actl 21-22'!$AF$1</definedName>
    <definedName name="QB_COLUMN_2921" localSheetId="13" hidden="1">'2022 Forecast Worksheet'!#REF!</definedName>
    <definedName name="QB_COLUMN_2921" localSheetId="4" hidden="1">'CAP IMPROVE Actl 2019-2022'!$H$1</definedName>
    <definedName name="QB_COLUMN_2921" localSheetId="7" hidden="1">'Monthly Act Capital funds 2022'!$H$1</definedName>
    <definedName name="QB_COLUMN_2921" localSheetId="8" hidden="1">'OPS Actl 2019-2022'!$H$1</definedName>
    <definedName name="QB_COLUMN_29210" localSheetId="13" hidden="1">'2022 Forecast Worksheet'!$T$1</definedName>
    <definedName name="QB_COLUMN_29210" localSheetId="4" hidden="1">'CAP IMPROVE Actl 2019-2022'!$Z$1</definedName>
    <definedName name="QB_COLUMN_29210" localSheetId="8" hidden="1">'OPS Actl 2019-2022'!$Z$1</definedName>
    <definedName name="QB_COLUMN_29211" localSheetId="13" hidden="1">'2022 Forecast Worksheet'!$X$1</definedName>
    <definedName name="QB_COLUMN_29211" localSheetId="4" hidden="1">'CAP IMPROVE Actl 2019-2022'!$AB$1</definedName>
    <definedName name="QB_COLUMN_29211" localSheetId="8" hidden="1">'OPS Actl 2019-2022'!$AB$1</definedName>
    <definedName name="QB_COLUMN_29212" localSheetId="13" hidden="1">'2022 Forecast Worksheet'!$AB$1</definedName>
    <definedName name="QB_COLUMN_29212" localSheetId="4" hidden="1">'CAP IMPROVE Actl 2019-2022'!$AD$1</definedName>
    <definedName name="QB_COLUMN_29212" localSheetId="8" hidden="1">'OPS Actl 2019-2022'!$AD$1</definedName>
    <definedName name="QB_COLUMN_29213" localSheetId="13" hidden="1">'2022 Forecast Worksheet'!#REF!</definedName>
    <definedName name="QB_COLUMN_29213" localSheetId="4" hidden="1">'CAP IMPROVE Actl 2019-2022'!$AF$1</definedName>
    <definedName name="QB_COLUMN_29213" localSheetId="8" hidden="1">'OPS Actl 2019-2022'!$AF$1</definedName>
    <definedName name="QB_COLUMN_29214" localSheetId="13" hidden="1">'2022 Forecast Worksheet'!#REF!</definedName>
    <definedName name="QB_COLUMN_29214" localSheetId="4" hidden="1">'CAP IMPROVE Actl 2019-2022'!$AH$1</definedName>
    <definedName name="QB_COLUMN_29214" localSheetId="8" hidden="1">'OPS Actl 2019-2022'!$AH$1</definedName>
    <definedName name="QB_COLUMN_29215" localSheetId="13" hidden="1">'2022 Forecast Worksheet'!#REF!</definedName>
    <definedName name="QB_COLUMN_29215" localSheetId="4" hidden="1">'CAP IMPROVE Actl 2019-2022'!$AJ$1</definedName>
    <definedName name="QB_COLUMN_29215" localSheetId="8" hidden="1">'OPS Actl 2019-2022'!$AJ$1</definedName>
    <definedName name="QB_COLUMN_29216" localSheetId="13" hidden="1">'2022 Forecast Worksheet'!#REF!</definedName>
    <definedName name="QB_COLUMN_29216" localSheetId="4" hidden="1">'CAP IMPROVE Actl 2019-2022'!$AL$1</definedName>
    <definedName name="QB_COLUMN_29216" localSheetId="8" hidden="1">'OPS Actl 2019-2022'!$AL$1</definedName>
    <definedName name="QB_COLUMN_29217" localSheetId="13" hidden="1">'2022 Forecast Worksheet'!#REF!</definedName>
    <definedName name="QB_COLUMN_29217" localSheetId="4" hidden="1">'CAP IMPROVE Actl 2019-2022'!$AN$1</definedName>
    <definedName name="QB_COLUMN_29217" localSheetId="8" hidden="1">'OPS Actl 2019-2022'!$AN$1</definedName>
    <definedName name="QB_COLUMN_29218" localSheetId="13" hidden="1">'2022 Forecast Worksheet'!#REF!</definedName>
    <definedName name="QB_COLUMN_29218" localSheetId="4" hidden="1">'CAP IMPROVE Actl 2019-2022'!$AP$1</definedName>
    <definedName name="QB_COLUMN_29218" localSheetId="8" hidden="1">'OPS Actl 2019-2022'!$AP$1</definedName>
    <definedName name="QB_COLUMN_29219" localSheetId="13" hidden="1">'2022 Forecast Worksheet'!$I$1</definedName>
    <definedName name="QB_COLUMN_29219" localSheetId="4" hidden="1">'CAP IMPROVE Actl 2019-2022'!$AR$1</definedName>
    <definedName name="QB_COLUMN_29219" localSheetId="8" hidden="1">'OPS Actl 2019-2022'!$AR$1</definedName>
    <definedName name="QB_COLUMN_2922" localSheetId="13" hidden="1">'2022 Forecast Worksheet'!#REF!</definedName>
    <definedName name="QB_COLUMN_2922" localSheetId="4" hidden="1">'CAP IMPROVE Actl 2019-2022'!$J$1</definedName>
    <definedName name="QB_COLUMN_2922" localSheetId="7" hidden="1">'Monthly Act Capital funds 2022'!$J$1</definedName>
    <definedName name="QB_COLUMN_2922" localSheetId="8" hidden="1">'OPS Actl 2019-2022'!$J$1</definedName>
    <definedName name="QB_COLUMN_29220" localSheetId="13" hidden="1">'2022 Forecast Worksheet'!$M$1</definedName>
    <definedName name="QB_COLUMN_29220" localSheetId="4" hidden="1">'CAP IMPROVE Actl 2019-2022'!$AT$1</definedName>
    <definedName name="QB_COLUMN_29220" localSheetId="8" hidden="1">'OPS Actl 2019-2022'!$AT$1</definedName>
    <definedName name="QB_COLUMN_29221" localSheetId="13" hidden="1">'2022 Forecast Worksheet'!$Q$1</definedName>
    <definedName name="QB_COLUMN_29221" localSheetId="4" hidden="1">'CAP IMPROVE Actl 2019-2022'!$AV$1</definedName>
    <definedName name="QB_COLUMN_29221" localSheetId="8" hidden="1">'OPS Actl 2019-2022'!$AV$1</definedName>
    <definedName name="QB_COLUMN_29222" localSheetId="13" hidden="1">'2022 Forecast Worksheet'!$U$1</definedName>
    <definedName name="QB_COLUMN_29222" localSheetId="4" hidden="1">'CAP IMPROVE Actl 2019-2022'!$AX$1</definedName>
    <definedName name="QB_COLUMN_29222" localSheetId="8" hidden="1">'OPS Actl 2019-2022'!$AX$1</definedName>
    <definedName name="QB_COLUMN_29223" localSheetId="13" hidden="1">'2022 Forecast Worksheet'!$Y$1</definedName>
    <definedName name="QB_COLUMN_29223" localSheetId="4" hidden="1">'CAP IMPROVE Actl 2019-2022'!$AZ$1</definedName>
    <definedName name="QB_COLUMN_29223" localSheetId="8" hidden="1">'OPS Actl 2019-2022'!$AZ$1</definedName>
    <definedName name="QB_COLUMN_29224" localSheetId="13" hidden="1">'2022 Forecast Worksheet'!$AC$1</definedName>
    <definedName name="QB_COLUMN_29224" localSheetId="4" hidden="1">'CAP IMPROVE Actl 2019-2022'!$BB$1</definedName>
    <definedName name="QB_COLUMN_29224" localSheetId="8" hidden="1">'OPS Actl 2019-2022'!$BB$1</definedName>
    <definedName name="QB_COLUMN_29225" localSheetId="13" hidden="1">'2022 Forecast Worksheet'!#REF!</definedName>
    <definedName name="QB_COLUMN_29225" localSheetId="4" hidden="1">'CAP IMPROVE Actl 2019-2022'!$BD$1</definedName>
    <definedName name="QB_COLUMN_29225" localSheetId="8" hidden="1">'OPS Actl 2019-2022'!$BD$1</definedName>
    <definedName name="QB_COLUMN_29226" localSheetId="13" hidden="1">'2022 Forecast Worksheet'!#REF!</definedName>
    <definedName name="QB_COLUMN_29226" localSheetId="4" hidden="1">'CAP IMPROVE Actl 2019-2022'!$BF$1</definedName>
    <definedName name="QB_COLUMN_29226" localSheetId="8" hidden="1">'OPS Actl 2019-2022'!$BF$1</definedName>
    <definedName name="QB_COLUMN_29227" localSheetId="13" hidden="1">'2022 Forecast Worksheet'!#REF!</definedName>
    <definedName name="QB_COLUMN_29227" localSheetId="4" hidden="1">'CAP IMPROVE Actl 2019-2022'!$BH$1</definedName>
    <definedName name="QB_COLUMN_29227" localSheetId="8" hidden="1">'OPS Actl 2019-2022'!$BH$1</definedName>
    <definedName name="QB_COLUMN_29228" localSheetId="13" hidden="1">'2022 Forecast Worksheet'!#REF!</definedName>
    <definedName name="QB_COLUMN_29228" localSheetId="4" hidden="1">'CAP IMPROVE Actl 2019-2022'!$BJ$1</definedName>
    <definedName name="QB_COLUMN_29228" localSheetId="8" hidden="1">'OPS Actl 2019-2022'!$BJ$1</definedName>
    <definedName name="QB_COLUMN_29229" localSheetId="13" hidden="1">'2022 Forecast Worksheet'!#REF!</definedName>
    <definedName name="QB_COLUMN_29229" localSheetId="4" hidden="1">'CAP IMPROVE Actl 2019-2022'!$BL$1</definedName>
    <definedName name="QB_COLUMN_29229" localSheetId="8" hidden="1">'OPS Actl 2019-2022'!$BL$1</definedName>
    <definedName name="QB_COLUMN_2923" localSheetId="13" hidden="1">'2022 Forecast Worksheet'!#REF!</definedName>
    <definedName name="QB_COLUMN_2923" localSheetId="4" hidden="1">'CAP IMPROVE Actl 2019-2022'!$L$1</definedName>
    <definedName name="QB_COLUMN_2923" localSheetId="7" hidden="1">'Monthly Act Capital funds 2022'!$L$1</definedName>
    <definedName name="QB_COLUMN_2923" localSheetId="8" hidden="1">'OPS Actl 2019-2022'!$L$1</definedName>
    <definedName name="QB_COLUMN_29230" localSheetId="13" hidden="1">'2022 Forecast Worksheet'!#REF!</definedName>
    <definedName name="QB_COLUMN_29230" localSheetId="4" hidden="1">'CAP IMPROVE Actl 2019-2022'!$BN$1</definedName>
    <definedName name="QB_COLUMN_29230" localSheetId="8" hidden="1">'OPS Actl 2019-2022'!$BN$1</definedName>
    <definedName name="QB_COLUMN_2924" localSheetId="13" hidden="1">'2022 Forecast Worksheet'!#REF!</definedName>
    <definedName name="QB_COLUMN_2924" localSheetId="4" hidden="1">'CAP IMPROVE Actl 2019-2022'!$N$1</definedName>
    <definedName name="QB_COLUMN_2924" localSheetId="7" hidden="1">'Monthly Act Capital funds 2022'!$N$1</definedName>
    <definedName name="QB_COLUMN_2924" localSheetId="8" hidden="1">'OPS Actl 2019-2022'!$N$1</definedName>
    <definedName name="QB_COLUMN_2925" localSheetId="13" hidden="1">'2022 Forecast Worksheet'!#REF!</definedName>
    <definedName name="QB_COLUMN_2925" localSheetId="4" hidden="1">'CAP IMPROVE Actl 2019-2022'!$P$1</definedName>
    <definedName name="QB_COLUMN_2925" localSheetId="7" hidden="1">'Monthly Act Capital funds 2022'!$P$1</definedName>
    <definedName name="QB_COLUMN_2925" localSheetId="8" hidden="1">'OPS Actl 2019-2022'!$P$1</definedName>
    <definedName name="QB_COLUMN_2926" localSheetId="13" hidden="1">'2022 Forecast Worksheet'!#REF!</definedName>
    <definedName name="QB_COLUMN_2926" localSheetId="4" hidden="1">'CAP IMPROVE Actl 2019-2022'!$R$1</definedName>
    <definedName name="QB_COLUMN_2926" localSheetId="7" hidden="1">'Monthly Act Capital funds 2022'!$R$1</definedName>
    <definedName name="QB_COLUMN_2926" localSheetId="8" hidden="1">'OPS Actl 2019-2022'!$R$1</definedName>
    <definedName name="QB_COLUMN_2927" localSheetId="13" hidden="1">'2022 Forecast Worksheet'!$H$1</definedName>
    <definedName name="QB_COLUMN_2927" localSheetId="4" hidden="1">'CAP IMPROVE Actl 2019-2022'!$T$1</definedName>
    <definedName name="QB_COLUMN_2927" localSheetId="7" hidden="1">'Monthly Act Capital funds 2022'!$T$1</definedName>
    <definedName name="QB_COLUMN_2927" localSheetId="8" hidden="1">'OPS Actl 2019-2022'!$T$1</definedName>
    <definedName name="QB_COLUMN_2928" localSheetId="13" hidden="1">'2022 Forecast Worksheet'!$L$1</definedName>
    <definedName name="QB_COLUMN_2928" localSheetId="4" hidden="1">'CAP IMPROVE Actl 2019-2022'!$V$1</definedName>
    <definedName name="QB_COLUMN_2928" localSheetId="7" hidden="1">'Monthly Act Capital funds 2022'!$V$1</definedName>
    <definedName name="QB_COLUMN_2928" localSheetId="8" hidden="1">'OPS Actl 2019-2022'!$V$1</definedName>
    <definedName name="QB_COLUMN_2929" localSheetId="13" hidden="1">'2022 Forecast Worksheet'!$P$1</definedName>
    <definedName name="QB_COLUMN_2929" localSheetId="4" hidden="1">'CAP IMPROVE Actl 2019-2022'!$X$1</definedName>
    <definedName name="QB_COLUMN_2929" localSheetId="7" hidden="1">'Monthly Act Capital funds 2022'!$X$1</definedName>
    <definedName name="QB_COLUMN_2929" localSheetId="8" hidden="1">'OPS Actl 2019-2022'!$X$1</definedName>
    <definedName name="QB_COLUMN_2930" localSheetId="13" hidden="1">'2022 Forecast Worksheet'!#REF!</definedName>
    <definedName name="QB_COLUMN_2930" localSheetId="4" hidden="1">'CAP IMPROVE Actl 2019-2022'!$BP$1</definedName>
    <definedName name="QB_COLUMN_2930" localSheetId="7" hidden="1">'Monthly Act Capital funds 2022'!$AF$1</definedName>
    <definedName name="QB_COLUMN_2930" localSheetId="8" hidden="1">'OPS Actl 2019-2022'!#REF!</definedName>
    <definedName name="QB_COLUMN_42301" localSheetId="6" hidden="1">'2023 Capital DRAFT Budget'!#REF!</definedName>
    <definedName name="QB_COLUMN_42301" localSheetId="3" hidden="1">'2024 Capital DRAFT Budget'!#REF!</definedName>
    <definedName name="QB_COLUMN_423010" localSheetId="10" hidden="1">'2020 Budget'!$Q$1</definedName>
    <definedName name="QB_COLUMN_423010" localSheetId="11" hidden="1">'2021 Budget'!$Q$1</definedName>
    <definedName name="QB_COLUMN_423010" localSheetId="12" hidden="1">'2022 Forecast Fix'!#REF!</definedName>
    <definedName name="QB_COLUMN_59201" localSheetId="5" hidden="1">'2023 Ops Budget'!$H$3</definedName>
    <definedName name="QB_COLUMN_59201" localSheetId="9" hidden="1">'OPS Actl 21-22'!$H$2</definedName>
    <definedName name="QB_COLUMN_592010" localSheetId="9" hidden="1">'OPS Actl 21-22'!$AR$2</definedName>
    <definedName name="QB_COLUMN_592011" localSheetId="9" hidden="1">'OPS Actl 21-22'!$AV$2</definedName>
    <definedName name="QB_COLUMN_592012" localSheetId="9" hidden="1">'OPS Actl 21-22'!$AZ$2</definedName>
    <definedName name="QB_COLUMN_59202" localSheetId="5" hidden="1">'2023 Ops Budget'!$L$3</definedName>
    <definedName name="QB_COLUMN_59202" localSheetId="9" hidden="1">'OPS Actl 21-22'!$L$2</definedName>
    <definedName name="QB_COLUMN_592022" localSheetId="10" hidden="1">'2020 Budget'!$H$2</definedName>
    <definedName name="QB_COLUMN_592022" localSheetId="11" hidden="1">'2021 Budget'!$H$2</definedName>
    <definedName name="QB_COLUMN_592022" localSheetId="12" hidden="1">'2022 Forecast Fix'!$H$2</definedName>
    <definedName name="QB_COLUMN_592024" localSheetId="10" hidden="1">'2020 Budget'!$T$2</definedName>
    <definedName name="QB_COLUMN_592024" localSheetId="11" hidden="1">'2021 Budget'!$T$2</definedName>
    <definedName name="QB_COLUMN_592024" localSheetId="12" hidden="1">'2022 Forecast Fix'!#REF!</definedName>
    <definedName name="QB_COLUMN_592025" localSheetId="10" hidden="1">'2020 Budget'!$N$2</definedName>
    <definedName name="QB_COLUMN_592025" localSheetId="11" hidden="1">'2021 Budget'!$N$2</definedName>
    <definedName name="QB_COLUMN_592025" localSheetId="12" hidden="1">'2022 Forecast Fix'!#REF!</definedName>
    <definedName name="QB_COLUMN_59203" localSheetId="5" hidden="1">'2023 Ops Budget'!$P$3</definedName>
    <definedName name="QB_COLUMN_59203" localSheetId="9" hidden="1">'OPS Actl 21-22'!$P$2</definedName>
    <definedName name="QB_COLUMN_59204" localSheetId="9" hidden="1">'OPS Actl 21-22'!$T$2</definedName>
    <definedName name="QB_COLUMN_59205" localSheetId="9" hidden="1">'OPS Actl 21-22'!$X$2</definedName>
    <definedName name="QB_COLUMN_59206" localSheetId="9" hidden="1">'OPS Actl 21-22'!$AB$2</definedName>
    <definedName name="QB_COLUMN_59207" localSheetId="9" hidden="1">'OPS Actl 21-22'!$AF$2</definedName>
    <definedName name="QB_COLUMN_59208" localSheetId="9" hidden="1">'OPS Actl 21-22'!$AJ$2</definedName>
    <definedName name="QB_COLUMN_59209" localSheetId="9" hidden="1">'OPS Actl 21-22'!$AN$2</definedName>
    <definedName name="QB_COLUMN_59300" localSheetId="10" hidden="1">'2020 Budget'!$Z$2</definedName>
    <definedName name="QB_COLUMN_59300" localSheetId="11" hidden="1">'2021 Budget'!$Z$2</definedName>
    <definedName name="QB_COLUMN_59300" localSheetId="12" hidden="1">'2022 Forecast Fix'!#REF!</definedName>
    <definedName name="QB_COLUMN_59300" localSheetId="5" hidden="1">'2023 Ops Budget'!#REF!</definedName>
    <definedName name="QB_COLUMN_59300" localSheetId="9" hidden="1">'OPS Actl 21-22'!$BD$2</definedName>
    <definedName name="QB_COLUMN_61211" localSheetId="9" hidden="1">'OPS Actl 21-22'!$J$2</definedName>
    <definedName name="QB_COLUMN_612110" localSheetId="9" hidden="1">'OPS Actl 21-22'!$AT$2</definedName>
    <definedName name="QB_COLUMN_612111" localSheetId="9" hidden="1">'OPS Actl 21-22'!$AX$2</definedName>
    <definedName name="QB_COLUMN_612112" localSheetId="9" hidden="1">'OPS Actl 21-22'!$BB$2</definedName>
    <definedName name="QB_COLUMN_61212" localSheetId="9" hidden="1">'OPS Actl 21-22'!$N$2</definedName>
    <definedName name="QB_COLUMN_61213" localSheetId="9" hidden="1">'OPS Actl 21-22'!$R$2</definedName>
    <definedName name="QB_COLUMN_61214" localSheetId="9" hidden="1">'OPS Actl 21-22'!$V$2</definedName>
    <definedName name="QB_COLUMN_61215" localSheetId="9" hidden="1">'OPS Actl 21-22'!$Z$2</definedName>
    <definedName name="QB_COLUMN_61216" localSheetId="9" hidden="1">'OPS Actl 21-22'!$AD$2</definedName>
    <definedName name="QB_COLUMN_61217" localSheetId="9" hidden="1">'OPS Actl 21-22'!$AH$2</definedName>
    <definedName name="QB_COLUMN_61218" localSheetId="9" hidden="1">'OPS Actl 21-22'!$AL$2</definedName>
    <definedName name="QB_COLUMN_61219" localSheetId="9" hidden="1">'OPS Actl 21-22'!$AP$2</definedName>
    <definedName name="QB_COLUMN_61310" localSheetId="9" hidden="1">'OPS Actl 21-22'!$BF$2</definedName>
    <definedName name="QB_COLUMN_63620" localSheetId="5" hidden="1">'2023 Ops Budget'!#REF!</definedName>
    <definedName name="QB_COLUMN_63621" localSheetId="5" hidden="1">'2023 Ops Budget'!$J$3</definedName>
    <definedName name="QB_COLUMN_63622" localSheetId="5" hidden="1">'2023 Ops Budget'!$N$3</definedName>
    <definedName name="QB_COLUMN_63623" localSheetId="5" hidden="1">'2023 Ops Budget'!$T$3</definedName>
    <definedName name="QB_COLUMN_64420" localSheetId="10" hidden="1">'2020 Budget'!$AD$2</definedName>
    <definedName name="QB_COLUMN_64420" localSheetId="11" hidden="1">'2021 Budget'!$AD$2</definedName>
    <definedName name="QB_COLUMN_64420" localSheetId="12" hidden="1">'2022 Forecast Fix'!#REF!</definedName>
    <definedName name="QB_COLUMN_644222" localSheetId="10" hidden="1">'2020 Budget'!$L$2</definedName>
    <definedName name="QB_COLUMN_644222" localSheetId="11" hidden="1">'2021 Budget'!$L$2</definedName>
    <definedName name="QB_COLUMN_644222" localSheetId="12" hidden="1">'2022 Forecast Fix'!$M$2</definedName>
    <definedName name="QB_COLUMN_644224" localSheetId="10" hidden="1">'2020 Budget'!$X$2</definedName>
    <definedName name="QB_COLUMN_644224" localSheetId="11" hidden="1">'2021 Budget'!$X$2</definedName>
    <definedName name="QB_COLUMN_644224" localSheetId="12" hidden="1">'2022 Forecast Fix'!#REF!</definedName>
    <definedName name="QB_COLUMN_644225" localSheetId="10" hidden="1">'2020 Budget'!$R$2</definedName>
    <definedName name="QB_COLUMN_644225" localSheetId="11" hidden="1">'2021 Budget'!$R$2</definedName>
    <definedName name="QB_COLUMN_644225" localSheetId="12" hidden="1">'2022 Forecast Fix'!#REF!</definedName>
    <definedName name="QB_COLUMN_76211" localSheetId="5" hidden="1">'2023 Ops Budget'!$I$3</definedName>
    <definedName name="QB_COLUMN_76212" localSheetId="5" hidden="1">'2023 Ops Budget'!$M$3</definedName>
    <definedName name="QB_COLUMN_762122" localSheetId="10" hidden="1">'2020 Budget'!$J$2</definedName>
    <definedName name="QB_COLUMN_762122" localSheetId="11" hidden="1">'2021 Budget'!$J$2</definedName>
    <definedName name="QB_COLUMN_762122" localSheetId="12" hidden="1">'2022 Forecast Fix'!$L$2</definedName>
    <definedName name="QB_COLUMN_762124" localSheetId="10" hidden="1">'2020 Budget'!$V$2</definedName>
    <definedName name="QB_COLUMN_762124" localSheetId="11" hidden="1">'2021 Budget'!$V$2</definedName>
    <definedName name="QB_COLUMN_762124" localSheetId="12" hidden="1">'2022 Forecast Fix'!#REF!</definedName>
    <definedName name="QB_COLUMN_762125" localSheetId="10" hidden="1">'2020 Budget'!$P$2</definedName>
    <definedName name="QB_COLUMN_762125" localSheetId="11" hidden="1">'2021 Budget'!$P$2</definedName>
    <definedName name="QB_COLUMN_762125" localSheetId="12" hidden="1">'2022 Forecast Fix'!#REF!</definedName>
    <definedName name="QB_COLUMN_76213" localSheetId="5" hidden="1">'2023 Ops Budget'!$S$3</definedName>
    <definedName name="QB_COLUMN_76310" localSheetId="10" hidden="1">'2020 Budget'!$AB$2</definedName>
    <definedName name="QB_COLUMN_76310" localSheetId="11" hidden="1">'2021 Budget'!$AB$2</definedName>
    <definedName name="QB_COLUMN_76310" localSheetId="12" hidden="1">'2022 Forecast Fix'!#REF!</definedName>
    <definedName name="QB_COLUMN_76310" localSheetId="5" hidden="1">'2023 Ops Budget'!#REF!</definedName>
    <definedName name="QB_DATA_0" localSheetId="10" hidden="1">'2020 Budget'!$6:$6,'2020 Budget'!$7:$7,'2020 Budget'!$8:$8,'2020 Budget'!$9:$9,'2020 Budget'!$10:$10,'2020 Budget'!$11:$11,'2020 Budget'!$14:$14,'2020 Budget'!$15:$15,'2020 Budget'!$17:$17,'2020 Budget'!$19:$19,'2020 Budget'!$20:$20,'2020 Budget'!$22:$22,'2020 Budget'!$26:$26,'2020 Budget'!$28:$28,'2020 Budget'!$30:$30,'2020 Budget'!$31:$31</definedName>
    <definedName name="QB_DATA_0" localSheetId="11" hidden="1">'2021 Budget'!$6:$6,'2021 Budget'!$7:$7,'2021 Budget'!$8:$8,'2021 Budget'!$9:$9,'2021 Budget'!$10:$10,'2021 Budget'!$13:$13,'2021 Budget'!$14:$14,'2021 Budget'!$17:$17,'2021 Budget'!$18:$18,'2021 Budget'!$19:$19,'2021 Budget'!$21:$21,'2021 Budget'!$23:$23,'2021 Budget'!$24:$24,'2021 Budget'!$25:$25,'2021 Budget'!$27:$27,'2021 Budget'!$31:$31</definedName>
    <definedName name="QB_DATA_0" localSheetId="12" hidden="1">'2022 Forecast Fix'!$6:$6,'2022 Forecast Fix'!$7:$7,'2022 Forecast Fix'!$8:$8,'2022 Forecast Fix'!$9:$9,'2022 Forecast Fix'!$10:$10,'2022 Forecast Fix'!$13:$13,'2022 Forecast Fix'!$14:$14,'2022 Forecast Fix'!$17:$17,'2022 Forecast Fix'!$18:$18,'2022 Forecast Fix'!$19:$19,'2022 Forecast Fix'!$21:$21,'2022 Forecast Fix'!$23:$23,'2022 Forecast Fix'!$24:$24,'2022 Forecast Fix'!$27:$27,'2022 Forecast Fix'!$31:$31,'2022 Forecast Fix'!$33:$33</definedName>
    <definedName name="QB_DATA_0" localSheetId="13" hidden="1">'2022 Forecast Worksheet'!$5:$5,'2022 Forecast Worksheet'!$6:$6,'2022 Forecast Worksheet'!$7:$7,'2022 Forecast Worksheet'!$8:$8,'2022 Forecast Worksheet'!$9:$9,'2022 Forecast Worksheet'!$11:$11,'2022 Forecast Worksheet'!$13:$13,'2022 Forecast Worksheet'!$14:$14,'2022 Forecast Worksheet'!$15:$15,'2022 Forecast Worksheet'!$17:$17,'2022 Forecast Worksheet'!$21:$21,'2022 Forecast Worksheet'!$23:$23,'2022 Forecast Worksheet'!$25:$25,'2022 Forecast Worksheet'!$26:$26,'2022 Forecast Worksheet'!$27:$27,'2022 Forecast Worksheet'!$30:$30</definedName>
    <definedName name="QB_DATA_0" localSheetId="6" hidden="1">'2023 Capital DRAFT Budget'!$7:$7,'2023 Capital DRAFT Budget'!$8:$8,'2023 Capital DRAFT Budget'!$9:$9,'2023 Capital DRAFT Budget'!#REF!,'2023 Capital DRAFT Budget'!#REF!,'2023 Capital DRAFT Budget'!$10:$10,'2023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definedName>
    <definedName name="QB_DATA_0" localSheetId="5" hidden="1">'2023 Ops Budget'!$6:$6,'2023 Ops Budget'!$7:$7,'2023 Ops Budget'!$8:$8,'2023 Ops Budget'!$9:$9,'2023 Ops Budget'!$10:$10,'2023 Ops Budget'!$12:$12,'2023 Ops Budget'!$14:$14,'2023 Ops Budget'!$15:$15,'2023 Ops Budget'!#REF!,'2023 Ops Budget'!$18:$18,'2023 Ops Budget'!$20:$20,'2023 Ops Budget'!$22:$22,'2023 Ops Budget'!$23:$23,'2023 Ops Budget'!$24:$24,'2023 Ops Budget'!#REF!,'2023 Ops Budget'!$27:$27</definedName>
    <definedName name="QB_DATA_0" localSheetId="3" hidden="1">'2024 Capital DRAFT Budget'!$7:$7,'2024 Capital DRAFT Budget'!$8:$8,'2024 Capital DRAFT Budget'!$9:$9,'2024 Capital DRAFT Budget'!#REF!,'2024 Capital DRAFT Budget'!#REF!,'2024 Capital DRAFT Budget'!$10:$10,'2024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definedName>
    <definedName name="QB_DATA_0" localSheetId="4" hidden="1">'CAP IMPROVE Actl 2019-2022'!$5:$5,'CAP IMPROVE Actl 2019-2022'!$6:$6,'CAP IMPROVE Actl 2019-2022'!$7:$7,'CAP IMPROVE Actl 2019-2022'!$10:$10,'CAP IMPROVE Actl 2019-2022'!$11:$11,'CAP IMPROVE Actl 2019-2022'!$14:$14,'CAP IMPROVE Actl 2019-2022'!$15:$15,'CAP IMPROVE Actl 2019-2022'!$16:$16,'CAP IMPROVE Actl 2019-2022'!$18:$18,'CAP IMPROVE Actl 2019-2022'!$19:$19,'CAP IMPROVE Actl 2019-2022'!$20:$20,'CAP IMPROVE Actl 2019-2022'!$26:$26,'CAP IMPROVE Actl 2019-2022'!$27:$27,'CAP IMPROVE Actl 2019-2022'!$30:$30,'CAP IMPROVE Actl 2019-2022'!$32:$32,'CAP IMPROVE Actl 2019-2022'!$33:$33</definedName>
    <definedName name="QB_DATA_0" localSheetId="7" hidden="1">'Monthly Act Capital funds 2022'!$5:$5,'Monthly Act Capital funds 2022'!$6:$6,'Monthly Act Capital funds 2022'!$7:$7,'Monthly Act Capital funds 2022'!$10:$10,'Monthly Act Capital funds 2022'!$11:$11,'Monthly Act Capital funds 2022'!$14:$14,'Monthly Act Capital funds 2022'!$15:$15,'Monthly Act Capital funds 2022'!$16:$16,'Monthly Act Capital funds 2022'!$18:$18,'Monthly Act Capital funds 2022'!$19:$19,'Monthly Act Capital funds 2022'!$25:$25,'Monthly Act Capital funds 2022'!$28:$28,'Monthly Act Capital funds 2022'!$31:$31,'Monthly Act Capital funds 2022'!$34:$34,'Monthly Act Capital funds 2022'!$35:$35,'Monthly Act Capital funds 2022'!$38:$38</definedName>
    <definedName name="QB_DATA_0" localSheetId="8" hidden="1">'OPS Actl 2019-2022'!$5:$5,'OPS Actl 2019-2022'!$6:$6,'OPS Actl 2019-2022'!$7:$7,'OPS Actl 2019-2022'!$8:$8,'OPS Actl 2019-2022'!$9:$9,'OPS Actl 2019-2022'!$11:$11,'OPS Actl 2019-2022'!$13:$13,'OPS Actl 2019-2022'!$14:$14,'OPS Actl 2019-2022'!$15:$15,'OPS Actl 2019-2022'!$17:$17,'OPS Actl 2019-2022'!$21:$21,'OPS Actl 2019-2022'!$23:$23,'OPS Actl 2019-2022'!$25:$25,'OPS Actl 2019-2022'!$26:$26,'OPS Actl 2019-2022'!$27:$27,'OPS Actl 2019-2022'!$30:$30</definedName>
    <definedName name="QB_DATA_0" localSheetId="9" hidden="1">'OPS Actl 21-22'!$6:$6,'OPS Actl 21-22'!$7:$7,'OPS Actl 21-22'!$8:$8,'OPS Actl 21-22'!$9:$9,'OPS Actl 21-22'!$11:$11,'OPS Actl 21-22'!$13:$13,'OPS Actl 21-22'!$14:$14,'OPS Actl 21-22'!$16:$16,'OPS Actl 21-22'!$20:$20,'OPS Actl 21-22'!$22:$22,'OPS Actl 21-22'!$24:$24,'OPS Actl 21-22'!$25:$25,'OPS Actl 21-22'!$26:$26,'OPS Actl 21-22'!$29:$29,'OPS Actl 21-22'!$30:$30,'OPS Actl 21-22'!$32:$32</definedName>
    <definedName name="QB_DATA_1" localSheetId="10" hidden="1">'2020 Budget'!$32:$32,'2020 Budget'!$35:$35,'2020 Budget'!$36:$36,'2020 Budget'!$38:$38,'2020 Budget'!$39:$39,'2020 Budget'!$40:$40,'2020 Budget'!$42:$42,'2020 Budget'!$43:$43,'2020 Budget'!$47:$47,'2020 Budget'!$48:$48,'2020 Budget'!$50:$50,'2020 Budget'!$51:$51,'2020 Budget'!$53:$53,'2020 Budget'!$55:$55,'2020 Budget'!$56:$56,'2020 Budget'!$58:$58</definedName>
    <definedName name="QB_DATA_1" localSheetId="11" hidden="1">'2021 Budget'!$33:$33,'2021 Budget'!$35:$35,'2021 Budget'!$36:$36,'2021 Budget'!$37:$37,'2021 Budget'!$38:$38,'2021 Budget'!$41:$41,'2021 Budget'!$42:$42,'2021 Budget'!$43:$43,'2021 Budget'!$45:$45,'2021 Budget'!$46:$46,'2021 Budget'!$47:$47,'2021 Budget'!$49:$49,'2021 Budget'!$53:$53,'2021 Budget'!$54:$54,'2021 Budget'!$56:$56,'2021 Budget'!$57:$57</definedName>
    <definedName name="QB_DATA_1" localSheetId="12" hidden="1">'2022 Forecast Fix'!$35:$35,'2022 Forecast Fix'!$36:$36,'2022 Forecast Fix'!$37:$37,'2022 Forecast Fix'!$40:$40,'2022 Forecast Fix'!$41:$41,'2022 Forecast Fix'!$43:$43,'2022 Forecast Fix'!$44:$44,'2022 Forecast Fix'!$45:$45,'2022 Forecast Fix'!$47:$47,'2022 Forecast Fix'!$48:$48,'2022 Forecast Fix'!$52:$52,'2022 Forecast Fix'!$53:$53,'2022 Forecast Fix'!$55:$55,'2022 Forecast Fix'!$56:$56,'2022 Forecast Fix'!$57:$57,'2022 Forecast Fix'!$59:$59</definedName>
    <definedName name="QB_DATA_1" localSheetId="13" hidden="1">'2022 Forecast Worksheet'!$31:$31,'2022 Forecast Worksheet'!$33:$33,'2022 Forecast Worksheet'!$34:$34,'2022 Forecast Worksheet'!$35:$35,'2022 Forecast Worksheet'!$37:$37,'2022 Forecast Worksheet'!$41:$41,'2022 Forecast Worksheet'!$42:$42,'2022 Forecast Worksheet'!$44:$44,'2022 Forecast Worksheet'!$46:$46,'2022 Forecast Worksheet'!$48:$48,'2022 Forecast Worksheet'!$50:$50,'2022 Forecast Worksheet'!$51:$51,'2022 Forecast Worksheet'!$53:$53,'2022 Forecast Worksheet'!$54:$54,'2022 Forecast Worksheet'!$57:$57,'2022 Forecast Worksheet'!$58:$58</definedName>
    <definedName name="QB_DATA_1" localSheetId="6" hidden="1">'2023 Capital DRAFT Budget'!#REF!,'2023 Capital DRAFT Budget'!#REF!,'2023 Capital DRAFT Budget'!$15:$15,'2023 Capital DRAFT Budget'!$16:$16,'2023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Budget'!$17:$17</definedName>
    <definedName name="QB_DATA_1" localSheetId="5" hidden="1">'2023 Ops Budget'!$28:$28,'2023 Ops Budget'!#REF!,'2023 Ops Budget'!$30:$30,'2023 Ops Budget'!$31:$31,'2023 Ops Budget'!$32:$32,'2023 Ops Budget'!$33:$33,'2023 Ops Budget'!$36:$36,'2023 Ops Budget'!$38:$38,'2023 Ops Budget'!$40:$40,'2023 Ops Budget'!$41:$41,'2023 Ops Budget'!$42:$42,'2023 Ops Budget'!$43:$43,'2023 Ops Budget'!$45:$45,'2023 Ops Budget'!$47:$47,'2023 Ops Budget'!$48:$48,'2023 Ops Budget'!$50:$50</definedName>
    <definedName name="QB_DATA_1" localSheetId="3" hidden="1">'2024 Capital DRAFT Budget'!#REF!,'2024 Capital DRAFT Budget'!#REF!,'2024 Capital DRAFT Budget'!$15:$15,'2024 Capital DRAFT Budget'!$16:$16,'2024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Budget'!$17:$17</definedName>
    <definedName name="QB_DATA_1" localSheetId="4" hidden="1">'CAP IMPROVE Actl 2019-2022'!$34:$34,'CAP IMPROVE Actl 2019-2022'!$35:$35,'CAP IMPROVE Actl 2019-2022'!$36:$36,'CAP IMPROVE Actl 2019-2022'!$38:$38,'CAP IMPROVE Actl 2019-2022'!$39:$39</definedName>
    <definedName name="QB_DATA_1" localSheetId="7" hidden="1">'Monthly Act Capital funds 2022'!$43:$43,'Monthly Act Capital funds 2022'!$48:$48</definedName>
    <definedName name="QB_DATA_1" localSheetId="8" hidden="1">'OPS Actl 2019-2022'!$31:$31,'OPS Actl 2019-2022'!$33:$33,'OPS Actl 2019-2022'!$34:$34,'OPS Actl 2019-2022'!$35:$35,'OPS Actl 2019-2022'!$37:$37,'OPS Actl 2019-2022'!$41:$41,'OPS Actl 2019-2022'!$42:$42,'OPS Actl 2019-2022'!$44:$44,'OPS Actl 2019-2022'!$45:$45,'OPS Actl 2019-2022'!$47:$47,'OPS Actl 2019-2022'!$49:$49,'OPS Actl 2019-2022'!$50:$50,'OPS Actl 2019-2022'!$52:$52,'OPS Actl 2019-2022'!$53:$53,'OPS Actl 2019-2022'!$56:$56,'OPS Actl 2019-2022'!$57:$57</definedName>
    <definedName name="QB_DATA_1" localSheetId="9" hidden="1">'OPS Actl 21-22'!$33:$33,'OPS Actl 21-22'!$34:$34,'OPS Actl 21-22'!$36:$36,'OPS Actl 21-22'!$40:$40,'OPS Actl 21-22'!$41:$41,'OPS Actl 21-22'!$43:$43,'OPS Actl 21-22'!$44:$44,'OPS Actl 21-22'!$46:$46,'OPS Actl 21-22'!$48:$48,'OPS Actl 21-22'!$49:$49,'OPS Actl 21-22'!$51:$51,'OPS Actl 21-22'!$52:$52,'OPS Actl 21-22'!$55:$55,'OPS Actl 21-22'!$56:$56,'OPS Actl 21-22'!$57:$57,'OPS Actl 21-22'!$61:$61</definedName>
    <definedName name="QB_DATA_2" localSheetId="10" hidden="1">'2020 Budget'!$59:$59,'2020 Budget'!$62:$62,'2020 Budget'!$63:$63,'2020 Budget'!$64:$64,'2020 Budget'!$65:$65,'2020 Budget'!$67:$67,'2020 Budget'!$69:$69,'2020 Budget'!$70:$70,'2020 Budget'!$71:$71,'2020 Budget'!$72:$72,'2020 Budget'!$73:$73,'2020 Budget'!$74:$74,'2020 Budget'!$75:$75,'2020 Budget'!$77:$77,'2020 Budget'!$80:$80</definedName>
    <definedName name="QB_DATA_2" localSheetId="11" hidden="1">'2021 Budget'!$58:$58,'2021 Budget'!$60:$60,'2021 Budget'!$62:$62,'2021 Budget'!$63:$63,'2021 Budget'!$65:$65,'2021 Budget'!$66:$66,'2021 Budget'!$69:$69,'2021 Budget'!$70:$70,'2021 Budget'!$71:$71,'2021 Budget'!$72:$72,'2021 Budget'!$74:$74,'2021 Budget'!$76:$76,'2021 Budget'!$77:$77,'2021 Budget'!$78:$78,'2021 Budget'!$79:$79,'2021 Budget'!$80:$80</definedName>
    <definedName name="QB_DATA_2" localSheetId="12" hidden="1">'2022 Forecast Fix'!$61:$61,'2022 Forecast Fix'!$62:$62,'2022 Forecast Fix'!$64:$64,'2022 Forecast Fix'!$65:$65,'2022 Forecast Fix'!$68:$68,'2022 Forecast Fix'!$69:$69,'2022 Forecast Fix'!$70:$70,'2022 Forecast Fix'!$71:$71,'2022 Forecast Fix'!$73:$73,'2022 Forecast Fix'!$75:$75,'2022 Forecast Fix'!$76:$76,'2022 Forecast Fix'!$77:$77,'2022 Forecast Fix'!$78:$78,'2022 Forecast Fix'!$80:$80,'2022 Forecast Fix'!$81:$81,'2022 Forecast Fix'!$84:$84</definedName>
    <definedName name="QB_DATA_2" localSheetId="13" hidden="1">'2022 Forecast Worksheet'!$59:$59,'2022 Forecast Worksheet'!$63:$63</definedName>
    <definedName name="QB_DATA_2" localSheetId="6" hidden="1">'2023 Capital DRAFT Budget'!$58:$58,'2023 Capital DRAFT Budget'!$59:$59,'2023 Capital DRAFT Budget'!$60:$60,'2023 Capital DRAFT Budget'!#REF!,'2023 Capital DRAFT Budget'!$63:$63,'2023 Capital DRAFT Budget'!$64:$64,'2023 Capital DRAFT Budget'!$65:$65,'2023 Capital DRAFT Budget'!#REF!,'2023 Capital DRAFT Budget'!$20:$20,'2023 Capital DRAFT Budget'!$21:$21,'2023 Capital DRAFT Budget'!#REF!,'2023 Capital DRAFT Budget'!$46:$46,'2023 Capital DRAFT Budget'!$47:$47,'2023 Capital DRAFT Budget'!$48:$48,'2023 Capital DRAFT Budget'!$49:$49,'2023 Capital DRAFT Budget'!#REF!</definedName>
    <definedName name="QB_DATA_2" localSheetId="5" hidden="1">'2023 Ops Budget'!$51:$51,'2023 Ops Budget'!$54:$54,'2023 Ops Budget'!$55:$55,'2023 Ops Budget'!$56:$56,'2023 Ops Budget'!$57:$57,'2023 Ops Budget'!$61:$61</definedName>
    <definedName name="QB_DATA_2" localSheetId="3" hidden="1">'2024 Capital DRAFT Budget'!$64:$64,'2024 Capital DRAFT Budget'!$65:$65,'2024 Capital DRAFT Budget'!$66:$66,'2024 Capital DRAFT Budget'!#REF!,'2024 Capital DRAFT Budget'!$69:$69,'2024 Capital DRAFT Budget'!$70:$70,'2024 Capital DRAFT Budget'!$71:$71,'2024 Capital DRAFT Budget'!#REF!,'2024 Capital DRAFT Budget'!$20:$20,'2024 Capital DRAFT Budget'!$21:$21,'2024 Capital DRAFT Budget'!#REF!,'2024 Capital DRAFT Budget'!$52:$52,'2024 Capital DRAFT Budget'!$53:$53,'2024 Capital DRAFT Budget'!$54:$54,'2024 Capital DRAFT Budget'!$55:$55,'2024 Capital DRAFT Budget'!#REF!</definedName>
    <definedName name="QB_DATA_2" localSheetId="8" hidden="1">'OPS Actl 2019-2022'!$58:$58,'OPS Actl 2019-2022'!$62:$62</definedName>
    <definedName name="QB_DATA_3" localSheetId="11" hidden="1">'2021 Budget'!$81:$81,'2021 Budget'!$83:$83,'2021 Budget'!$84:$84,'2021 Budget'!$87:$87</definedName>
    <definedName name="QB_DATA_3" localSheetId="6" hidden="1">'2023 Capital DRAFT Budget'!#REF!,'2023 Capital DRAFT Budget'!#REF!,'2023 Capital DRAFT Budget'!#REF!,'2023 Capital DRAFT Budget'!#REF!,'2023 Capital DRAFT Budget'!#REF!,'2023 Capital DRAFT Budget'!$68:$68,'2023 Capital DRAFT Budget'!$69:$69,'2023 Capital DRAFT Budget'!$70:$70,'2023 Capital DRAFT Budget'!$71:$71,'2023 Capital DRAFT Budget'!#REF!,'2023 Capital DRAFT Budget'!$24:$24,'2023 Capital DRAFT Budget'!$25:$25,'2023 Capital DRAFT Budget'!$26:$26,'2023 Capital DRAFT Budget'!$27:$27,'2023 Capital DRAFT Budget'!#REF!,'2023 Capital DRAFT Budget'!$30:$30</definedName>
    <definedName name="QB_DATA_3" localSheetId="3" hidden="1">'2024 Capital DRAFT Budget'!#REF!,'2024 Capital DRAFT Budget'!#REF!,'2024 Capital DRAFT Budget'!#REF!,'2024 Capital DRAFT Budget'!#REF!,'2024 Capital DRAFT Budget'!#REF!,'2024 Capital DRAFT Budget'!$74:$74,'2024 Capital DRAFT Budget'!$75:$75,'2024 Capital DRAFT Budget'!$76:$76,'2024 Capital DRAFT Budget'!$77:$77,'2024 Capital DRAFT Budget'!#REF!,'2024 Capital DRAFT Budget'!$24:$24,'2024 Capital DRAFT Budget'!$25:$25,'2024 Capital DRAFT Budget'!$26:$26,'2024 Capital DRAFT Budget'!$27:$27,'2024 Capital DRAFT Budget'!#REF!,'2024 Capital DRAFT Budget'!$36:$36</definedName>
    <definedName name="QB_DATA_4" localSheetId="6" hidden="1">'2023 Capital DRAFT Budget'!$31:$31,'2023 Capital DRAFT Budget'!$32:$32,'2023 Capital DRAFT Budget'!$33:$33,'2023 Capital DRAFT Budget'!#REF!,'2023 Capital DRAFT Budget'!$36:$36,'2023 Capital DRAFT Budget'!$37:$37,'2023 Capital DRAFT Budget'!#REF!,'2023 Capital DRAFT Budget'!$73:$73,'2023 Capital DRAFT Budget'!$74:$74,'2023 Capital DRAFT Budget'!$75:$75,'2023 Capital DRAFT Budget'!$77:$77,'2023 Capital DRAFT Budget'!$12:$12,'2023 Capital DRAFT Budget'!#REF!,'2023 Capital DRAFT Budget'!$78:$78,'2023 Capital DRAFT Budget'!$79:$79,'2023 Capital DRAFT Budget'!$82:$82</definedName>
    <definedName name="QB_DATA_4" localSheetId="3" hidden="1">'2024 Capital DRAFT Budget'!$37:$37,'2024 Capital DRAFT Budget'!$38:$38,'2024 Capital DRAFT Budget'!$39:$39,'2024 Capital DRAFT Budget'!#REF!,'2024 Capital DRAFT Budget'!$42:$42,'2024 Capital DRAFT Budget'!$43:$43,'2024 Capital DRAFT Budget'!#REF!,'2024 Capital DRAFT Budget'!$79:$79,'2024 Capital DRAFT Budget'!$80:$80,'2024 Capital DRAFT Budget'!$81:$81,'2024 Capital DRAFT Budget'!$84:$84,'2024 Capital DRAFT Budget'!$12:$12,'2024 Capital DRAFT Budget'!#REF!,'2024 Capital DRAFT Budget'!$85:$85,'2024 Capital DRAFT Budget'!$86:$86,'2024 Capital DRAFT Budget'!$89:$89</definedName>
    <definedName name="QB_FORMULA_0" localSheetId="10" hidden="1">'2020 Budget'!$L$6,'2020 Budget'!$X$6,'2020 Budget'!$Z$6,'2020 Budget'!$AB$6,'2020 Budget'!$AD$6,'2020 Budget'!$L$7,'2020 Budget'!$Z$7,'2020 Budget'!$AB$7,'2020 Budget'!$AD$7,'2020 Budget'!$L$8,'2020 Budget'!$Z$8,'2020 Budget'!$AB$8,'2020 Budget'!$AD$8,'2020 Budget'!$Z$9,'2020 Budget'!$AB$9,'2020 Budget'!$AD$9</definedName>
    <definedName name="QB_FORMULA_0" localSheetId="11" hidden="1">'2021 Budget'!$L$6,'2021 Budget'!$X$6,'2021 Budget'!$Z$6,'2021 Budget'!$AB$6,'2021 Budget'!$AD$6,'2021 Budget'!$L$7,'2021 Budget'!$Z$7,'2021 Budget'!$AB$7,'2021 Budget'!$AD$7,'2021 Budget'!$L$8,'2021 Budget'!$Z$8,'2021 Budget'!$AB$8,'2021 Budget'!$AD$8,'2021 Budget'!$L$9,'2021 Budget'!$X$9,'2021 Budget'!$Z$9</definedName>
    <definedName name="QB_FORMULA_0" localSheetId="12" hidden="1">'2022 Forecast Fix'!$M$6,'2022 Forecast Fix'!#REF!,'2022 Forecast Fix'!#REF!,'2022 Forecast Fix'!#REF!,'2022 Forecast Fix'!#REF!,'2022 Forecast Fix'!$M$7,'2022 Forecast Fix'!#REF!,'2022 Forecast Fix'!#REF!,'2022 Forecast Fix'!#REF!,'2022 Forecast Fix'!$M$8,'2022 Forecast Fix'!#REF!,'2022 Forecast Fix'!#REF!,'2022 Forecast Fix'!#REF!,'2022 Forecast Fix'!#REF!,'2022 Forecast Fix'!#REF!,'2022 Forecast Fix'!#REF!</definedName>
    <definedName name="QB_FORMULA_0"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Worksheet'!$H$10,'2022 Forecast Worksheet'!$L$10,'2022 Forecast Worksheet'!$P$10,'2022 Forecast Worksheet'!$T$10,'2022 Forecast Worksheet'!$X$10</definedName>
    <definedName name="QB_FORMULA_0" localSheetId="6" hidden="1">'2023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Budget'!$K$13,'2023 Capital DRAFT Budget'!$P$13</definedName>
    <definedName name="QB_FORMULA_0" localSheetId="5" hidden="1">'2023 Ops Budget'!$J$6,'2023 Ops Budget'!$N$6,'2023 Ops Budget'!$T$6,'2023 Ops Budget'!#REF!,'2023 Ops Budget'!#REF!,'2023 Ops Budget'!#REF!,'2023 Ops Budget'!$J$7,'2023 Ops Budget'!$N$7,'2023 Ops Budget'!$T$7,'2023 Ops Budget'!#REF!,'2023 Ops Budget'!#REF!,'2023 Ops Budget'!#REF!,'2023 Ops Budget'!$J$8,'2023 Ops Budget'!$N$8,'2023 Ops Budget'!$T$8,'2023 Ops Budget'!#REF!</definedName>
    <definedName name="QB_FORMULA_0" localSheetId="3" hidden="1">'2024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Budget'!$K$13,'2024 Capital DRAFT Budget'!$Q$13</definedName>
    <definedName name="QB_FORMULA_0" localSheetId="4" hidden="1">'CAP IMPROVE Actl 2019-2022'!$BP$5,'CAP IMPROVE Actl 2019-2022'!$BP$6,'CAP IMPROVE Actl 2019-2022'!$BP$7,'CAP IMPROVE Actl 2019-2022'!$H$8,'CAP IMPROVE Actl 2019-2022'!$J$8,'CAP IMPROVE Actl 2019-2022'!$L$8,'CAP IMPROVE Actl 2019-2022'!$N$8,'CAP IMPROVE Actl 2019-2022'!$P$8,'CAP IMPROVE Actl 2019-2022'!$R$8,'CAP IMPROVE Actl 2019-2022'!$T$8,'CAP IMPROVE Actl 2019-2022'!$V$8,'CAP IMPROVE Actl 2019-2022'!$X$8,'CAP IMPROVE Actl 2019-2022'!$Z$8,'CAP IMPROVE Actl 2019-2022'!$AB$8,'CAP IMPROVE Actl 2019-2022'!$AD$8,'CAP IMPROVE Actl 2019-2022'!$AF$8</definedName>
    <definedName name="QB_FORMULA_0" localSheetId="7" hidden="1">'Monthly Act Capital funds 2022'!$AF$5,'Monthly Act Capital funds 2022'!$AF$6,'Monthly Act Capital funds 2022'!$AF$7,'Monthly Act Capital funds 2022'!$H$8,'Monthly Act Capital funds 2022'!$J$8,'Monthly Act Capital funds 2022'!$L$8,'Monthly Act Capital funds 2022'!$N$8,'Monthly Act Capital funds 2022'!$P$8,'Monthly Act Capital funds 2022'!$R$8,'Monthly Act Capital funds 2022'!$T$8,'Monthly Act Capital funds 2022'!$V$8,'Monthly Act Capital funds 2022'!$X$8,'Monthly Act Capital funds 2022'!$AF$8,'Monthly Act Capital funds 2022'!$AF$10,'Monthly Act Capital funds 2022'!$AF$11,'Monthly Act Capital funds 2022'!$H$12</definedName>
    <definedName name="QB_FORMULA_0" localSheetId="8" hidden="1">'OPS Actl 2019-2022'!#REF!,'OPS Actl 2019-2022'!#REF!,'OPS Actl 2019-2022'!#REF!,'OPS Actl 2019-2022'!#REF!,'OPS Actl 2019-2022'!#REF!,'OPS Actl 2019-2022'!$H$10,'OPS Actl 2019-2022'!$J$10,'OPS Actl 2019-2022'!$L$10,'OPS Actl 2019-2022'!$N$10,'OPS Actl 2019-2022'!$P$10,'OPS Actl 2019-2022'!$R$10,'OPS Actl 2019-2022'!$T$10,'OPS Actl 2019-2022'!$V$10,'OPS Actl 2019-2022'!$X$10,'OPS Actl 2019-2022'!$Z$10,'OPS Actl 2019-2022'!$AB$10</definedName>
    <definedName name="QB_FORMULA_0" localSheetId="9" hidden="1">'OPS Actl 21-22'!$BD$6,'OPS Actl 21-22'!$BF$6,'OPS Actl 21-22'!$BD$7,'OPS Actl 21-22'!$BF$7,'OPS Actl 21-22'!$BD$8,'OPS Actl 21-22'!$BF$8,'OPS Actl 21-22'!$BD$9,'OPS Actl 21-22'!$BF$9,'OPS Actl 21-22'!$H$10,'OPS Actl 21-22'!$J$10,'OPS Actl 21-22'!$L$10,'OPS Actl 21-22'!$N$10,'OPS Actl 21-22'!$P$10,'OPS Actl 21-22'!$R$10,'OPS Actl 21-22'!$T$10,'OPS Actl 21-22'!$V$10</definedName>
    <definedName name="QB_FORMULA_1" localSheetId="10" hidden="1">'2020 Budget'!$L$10,'2020 Budget'!$X$10,'2020 Budget'!$Z$10,'2020 Budget'!$AB$10,'2020 Budget'!$AD$10,'2020 Budget'!$X$11,'2020 Budget'!$Z$11,'2020 Budget'!$AB$11,'2020 Budget'!$AD$11,'2020 Budget'!$H$12,'2020 Budget'!$J$12,'2020 Budget'!$L$12,'2020 Budget'!$N$12,'2020 Budget'!$T$12,'2020 Budget'!$V$12,'2020 Budget'!$X$12</definedName>
    <definedName name="QB_FORMULA_1" localSheetId="11" hidden="1">'2021 Budget'!$AB$9,'2021 Budget'!$AD$9,'2021 Budget'!$X$10,'2021 Budget'!$Z$10,'2021 Budget'!$AB$10,'2021 Budget'!$AD$10,'2021 Budget'!$H$11,'2021 Budget'!$J$11,'2021 Budget'!$L$11,'2021 Budget'!$N$11,'2021 Budget'!$T$11,'2021 Budget'!$V$11,'2021 Budget'!$X$11,'2021 Budget'!$Z$11,'2021 Budget'!$AB$11,'2021 Budget'!$AD$11</definedName>
    <definedName name="QB_FORMULA_1" localSheetId="12" hidden="1">'2022 Forecast Fix'!#REF!,'2022 Forecast Fix'!#REF!,'2022 Forecast Fix'!#REF!,'2022 Forecast Fix'!$H$11,'2022 Forecast Fix'!$L$11,'2022 Forecast Fix'!$M$11,'2022 Forecast Fix'!#REF!,'2022 Forecast Fix'!#REF!,'2022 Forecast Fix'!#REF!,'2022 Forecast Fix'!#REF!,'2022 Forecast Fix'!#REF!,'2022 Forecast Fix'!#REF!,'2022 Forecast Fix'!#REF!,'2022 Forecast Fix'!#REF!,'2022 Forecast Fix'!#REF!,'2022 Forecast Fix'!#REF!</definedName>
    <definedName name="QB_FORMULA_1" localSheetId="13" hidden="1">'2022 Forecast Worksheet'!$AB$10,'2022 Forecast Worksheet'!#REF!,'2022 Forecast Worksheet'!#REF!,'2022 Forecast Worksheet'!#REF!,'2022 Forecast Worksheet'!#REF!,'2022 Forecast Worksheet'!#REF!,'2022 Forecast Worksheet'!#REF!,'2022 Forecast Worksheet'!$I$10,'2022 Forecast Worksheet'!$M$10,'2022 Forecast Worksheet'!$Q$10,'2022 Forecast Worksheet'!$U$10,'2022 Forecast Worksheet'!$Y$10,'2022 Forecast Worksheet'!$AC$10,'2022 Forecast Worksheet'!#REF!,'2022 Forecast Worksheet'!#REF!,'2022 Forecast Worksheet'!#REF!</definedName>
    <definedName name="QB_FORMULA_1" localSheetId="6" hidden="1">'2023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definedName>
    <definedName name="QB_FORMULA_1" localSheetId="5" hidden="1">'2023 Ops Budget'!#REF!,'2023 Ops Budget'!#REF!,'2023 Ops Budget'!#REF!,'2023 Ops Budget'!$J$10,'2023 Ops Budget'!$N$10,'2023 Ops Budget'!#REF!,'2023 Ops Budget'!#REF!,'2023 Ops Budget'!#REF!,'2023 Ops Budget'!$H$11,'2023 Ops Budget'!$I$11,'2023 Ops Budget'!$J$11,'2023 Ops Budget'!$L$11,'2023 Ops Budget'!$M$11,'2023 Ops Budget'!$N$11,'2023 Ops Budget'!$P$11,'2023 Ops Budget'!$S$11</definedName>
    <definedName name="QB_FORMULA_1" localSheetId="3" hidden="1">'2024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definedName>
    <definedName name="QB_FORMULA_1" localSheetId="4" hidden="1">'CAP IMPROVE Actl 2019-2022'!$AH$8,'CAP IMPROVE Actl 2019-2022'!$AJ$8,'CAP IMPROVE Actl 2019-2022'!$AL$8,'CAP IMPROVE Actl 2019-2022'!$AN$8,'CAP IMPROVE Actl 2019-2022'!$AP$8,'CAP IMPROVE Actl 2019-2022'!$AR$8,'CAP IMPROVE Actl 2019-2022'!$AT$8,'CAP IMPROVE Actl 2019-2022'!$AV$8,'CAP IMPROVE Actl 2019-2022'!$AX$8,'CAP IMPROVE Actl 2019-2022'!$AZ$8,'CAP IMPROVE Actl 2019-2022'!$BB$8,'CAP IMPROVE Actl 2019-2022'!$BD$8,'CAP IMPROVE Actl 2019-2022'!$BF$8,'CAP IMPROVE Actl 2019-2022'!$BH$8,'CAP IMPROVE Actl 2019-2022'!$BJ$8,'CAP IMPROVE Actl 2019-2022'!$BL$8</definedName>
    <definedName name="QB_FORMULA_1" localSheetId="7" hidden="1">'Monthly Act Capital funds 2022'!$J$12,'Monthly Act Capital funds 2022'!$L$12,'Monthly Act Capital funds 2022'!$N$12,'Monthly Act Capital funds 2022'!$P$12,'Monthly Act Capital funds 2022'!$R$12,'Monthly Act Capital funds 2022'!$T$12,'Monthly Act Capital funds 2022'!$V$12,'Monthly Act Capital funds 2022'!$X$12,'Monthly Act Capital funds 2022'!$AF$12,'Monthly Act Capital funds 2022'!$AF$14,'Monthly Act Capital funds 2022'!$AF$15,'Monthly Act Capital funds 2022'!$AF$16,'Monthly Act Capital funds 2022'!$H$17,'Monthly Act Capital funds 2022'!$J$17,'Monthly Act Capital funds 2022'!$L$17,'Monthly Act Capital funds 2022'!$N$17</definedName>
    <definedName name="QB_FORMULA_1" localSheetId="8" hidden="1">'OPS Actl 2019-2022'!$AD$10,'OPS Actl 2019-2022'!$AF$10,'OPS Actl 2019-2022'!$AH$10,'OPS Actl 2019-2022'!$AJ$10,'OPS Actl 2019-2022'!$AL$10,'OPS Actl 2019-2022'!$AN$10,'OPS Actl 2019-2022'!$AP$10,'OPS Actl 2019-2022'!$AR$10,'OPS Actl 2019-2022'!$AT$10,'OPS Actl 2019-2022'!$AV$10,'OPS Actl 2019-2022'!$AX$10,'OPS Actl 2019-2022'!$AZ$10,'OPS Actl 2019-2022'!$BB$10,'OPS Actl 2019-2022'!$BD$10,'OPS Actl 2019-2022'!$BF$10,'OPS Actl 2019-2022'!$BH$10</definedName>
    <definedName name="QB_FORMULA_1" localSheetId="9" hidden="1">'OPS Actl 21-22'!$X$10,'OPS Actl 21-22'!$Z$10,'OPS Actl 21-22'!$AB$10,'OPS Actl 21-22'!$AD$10,'OPS Actl 21-22'!$AF$10,'OPS Actl 21-22'!$AH$10,'OPS Actl 21-22'!$AJ$10,'OPS Actl 21-22'!$AL$10,'OPS Actl 21-22'!$AN$10,'OPS Actl 21-22'!$AP$10,'OPS Actl 21-22'!$AR$10,'OPS Actl 21-22'!$AT$10,'OPS Actl 21-22'!$AV$10,'OPS Actl 21-22'!$AX$10,'OPS Actl 21-22'!$AZ$10,'OPS Actl 21-22'!$BB$10</definedName>
    <definedName name="QB_FORMULA_10" localSheetId="10" hidden="1">'2020 Budget'!$AB$40,'2020 Budget'!$AD$40,'2020 Budget'!$L$42,'2020 Budget'!$Z$42,'2020 Budget'!$AB$42,'2020 Budget'!$AD$42,'2020 Budget'!$L$43,'2020 Budget'!$Z$43,'2020 Budget'!$AB$43,'2020 Budget'!$AD$43,'2020 Budget'!$H$44,'2020 Budget'!$J$44,'2020 Budget'!$L$44,'2020 Budget'!$N$44,'2020 Budget'!$T$44,'2020 Budget'!$Z$44</definedName>
    <definedName name="QB_FORMULA_10" localSheetId="11" hidden="1">'2021 Budget'!$Z$42,'2021 Budget'!$AB$42,'2021 Budget'!$AD$42,'2021 Budget'!$L$43,'2021 Budget'!$Z$43,'2021 Budget'!$AB$43,'2021 Budget'!$AD$43,'2021 Budget'!$H$44,'2021 Budget'!$J$44,'2021 Budget'!$L$44,'2021 Budget'!$N$44,'2021 Budget'!$T$44,'2021 Budget'!$Z$44,'2021 Budget'!$AB$44,'2021 Budget'!$AD$44,'2021 Budget'!$L$45</definedName>
    <definedName name="QB_FORMULA_10" localSheetId="12" hidden="1">'2022 Forecast Fix'!$M$44,'2022 Forecast Fix'!#REF!,'2022 Forecast Fix'!#REF!,'2022 Forecast Fix'!#REF!,'2022 Forecast Fix'!$M$45,'2022 Forecast Fix'!#REF!,'2022 Forecast Fix'!#REF!,'2022 Forecast Fix'!#REF!,'2022 Forecast Fix'!#REF!,'2022 Forecast Fix'!#REF!,'2022 Forecast Fix'!#REF!,'2022 Forecast Fix'!$M$48,'2022 Forecast Fix'!#REF!,'2022 Forecast Fix'!#REF!,'2022 Forecast Fix'!#REF!,'2022 Forecast Fix'!$H$49</definedName>
    <definedName name="QB_FORMULA_10" localSheetId="13" hidden="1">'2022 Forecast Worksheet'!$U$28,'2022 Forecast Worksheet'!$Y$28,'2022 Forecast Worksheet'!$AC$28,'2022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definedName>
    <definedName name="QB_FORMULA_10" localSheetId="5" hidden="1">'2023 Ops Budget'!$H$29,'2023 Ops Budget'!$I$29,'2023 Ops Budget'!$J$29,'2023 Ops Budget'!$L$29,'2023 Ops Budget'!$M$29,'2023 Ops Budget'!$N$29,'2023 Ops Budget'!$P$29,'2023 Ops Budget'!$S$29,'2023 Ops Budget'!$T$29,'2023 Ops Budget'!#REF!,'2023 Ops Budget'!#REF!,'2023 Ops Budget'!#REF!,'2023 Ops Budget'!$J$30,'2023 Ops Budget'!$N$30,'2023 Ops Budget'!$T$30,'2023 Ops Budget'!#REF!</definedName>
    <definedName name="QB_FORMULA_10" localSheetId="4" hidden="1">'CAP IMPROVE Actl 2019-2022'!$BF$22,'CAP IMPROVE Actl 2019-2022'!$BH$22,'CAP IMPROVE Actl 2019-2022'!$BJ$22,'CAP IMPROVE Actl 2019-2022'!$BL$22,'CAP IMPROVE Actl 2019-2022'!$BN$22,'CAP IMPROVE Actl 2019-2022'!$BP$22,'CAP IMPROVE Actl 2019-2022'!$BP$26,'CAP IMPROVE Actl 2019-2022'!$BP$27,'CAP IMPROVE Actl 2019-2022'!$H$28,'CAP IMPROVE Actl 2019-2022'!$J$28,'CAP IMPROVE Actl 2019-2022'!$L$28,'CAP IMPROVE Actl 2019-2022'!$N$28,'CAP IMPROVE Actl 2019-2022'!$P$28,'CAP IMPROVE Actl 2019-2022'!$R$28,'CAP IMPROVE Actl 2019-2022'!$T$28,'CAP IMPROVE Actl 2019-2022'!$V$28</definedName>
    <definedName name="QB_FORMULA_10" localSheetId="7" hidden="1">'Monthly Act Capital funds 2022'!$L$50,'Monthly Act Capital funds 2022'!$N$50,'Monthly Act Capital funds 2022'!$P$50,'Monthly Act Capital funds 2022'!$R$50,'Monthly Act Capital funds 2022'!$T$50,'Monthly Act Capital funds 2022'!$V$50,'Monthly Act Capital funds 2022'!$X$50,'Monthly Act Capital funds 2022'!$AF$50,'Monthly Act Capital funds 2022'!$H$51,'Monthly Act Capital funds 2022'!$J$51,'Monthly Act Capital funds 2022'!$L$51,'Monthly Act Capital funds 2022'!$N$51,'Monthly Act Capital funds 2022'!$P$51,'Monthly Act Capital funds 2022'!$R$51,'Monthly Act Capital funds 2022'!$T$51,'Monthly Act Capital funds 2022'!$V$51</definedName>
    <definedName name="QB_FORMULA_10" localSheetId="8" hidden="1">'OPS Actl 2019-2022'!$AX$28,'OPS Actl 2019-2022'!$AZ$28,'OPS Actl 2019-2022'!$BB$28,'OPS Actl 2019-2022'!$BD$28,'OPS Actl 2019-2022'!$BF$28,'OPS Actl 2019-2022'!$BH$28,'OPS Actl 2019-2022'!$BJ$28,'OPS Actl 2019-2022'!$BL$28,'OPS Actl 2019-2022'!$BN$28,'OPS Actl 2019-2022'!#REF!,'OPS Actl 2019-2022'!#REF!,'OPS Actl 2019-2022'!#REF!,'OPS Actl 2019-2022'!$H$32,'OPS Actl 2019-2022'!$J$32,'OPS Actl 2019-2022'!$L$32,'OPS Actl 2019-2022'!$N$32</definedName>
    <definedName name="QB_FORMULA_10" localSheetId="9" hidden="1">'OPS Actl 21-22'!$H$31,'OPS Actl 21-22'!$J$31,'OPS Actl 21-22'!$L$31,'OPS Actl 21-22'!$N$31,'OPS Actl 21-22'!$P$31,'OPS Actl 21-22'!$R$31,'OPS Actl 21-22'!$T$31,'OPS Actl 21-22'!$V$31,'OPS Actl 21-22'!$X$31,'OPS Actl 21-22'!$Z$31,'OPS Actl 21-22'!$AB$31,'OPS Actl 21-22'!$AD$31,'OPS Actl 21-22'!$AF$31,'OPS Actl 21-22'!$AH$31,'OPS Actl 21-22'!$AJ$31,'OPS Actl 21-22'!$AL$31</definedName>
    <definedName name="QB_FORMULA_11" localSheetId="10" hidden="1">'2020 Budget'!$AB$44,'2020 Budget'!$AD$44,'2020 Budget'!$H$45,'2020 Budget'!$J$45,'2020 Budget'!$L$45,'2020 Budget'!$N$45,'2020 Budget'!$T$45,'2020 Budget'!$V$45,'2020 Budget'!$X$45,'2020 Budget'!$Z$45,'2020 Budget'!$AB$45,'2020 Budget'!$AD$45,'2020 Budget'!$L$47,'2020 Budget'!$Z$47,'2020 Budget'!$AB$47,'2020 Budget'!$AD$47</definedName>
    <definedName name="QB_FORMULA_11" localSheetId="11" hidden="1">'2021 Budget'!$Z$45,'2021 Budget'!$AB$45,'2021 Budget'!$AD$45,'2021 Budget'!$L$46,'2021 Budget'!$Z$46,'2021 Budget'!$AB$46,'2021 Budget'!$AD$46,'2021 Budget'!$L$47,'2021 Budget'!$Z$47,'2021 Budget'!$AB$47,'2021 Budget'!$AD$47,'2021 Budget'!$L$49,'2021 Budget'!$Z$49,'2021 Budget'!$AB$49,'2021 Budget'!$AD$49,'2021 Budget'!$H$50</definedName>
    <definedName name="QB_FORMULA_11" localSheetId="12" hidden="1">'2022 Forecast Fix'!$L$49,'2022 Forecast Fix'!$M$49,'2022 Forecast Fix'!#REF!,'2022 Forecast Fix'!#REF!,'2022 Forecast Fix'!#REF!,'2022 Forecast Fix'!#REF!,'2022 Forecast Fix'!#REF!,'2022 Forecast Fix'!$H$50,'2022 Forecast Fix'!$L$50,'2022 Forecast Fix'!$M$50,'2022 Forecast Fix'!#REF!,'2022 Forecast Fix'!#REF!,'2022 Forecast Fix'!#REF!,'2022 Forecast Fix'!#REF!,'2022 Forecast Fix'!#REF!,'2022 Forecast Fix'!#REF!</definedName>
    <definedName name="QB_FORMULA_11" localSheetId="13" hidden="1">'2022 Forecast Worksheet'!#REF!,'2022 Forecast Worksheet'!#REF!,'2022 Forecast Worksheet'!$H$32,'2022 Forecast Worksheet'!$L$32,'2022 Forecast Worksheet'!$P$32,'2022 Forecast Worksheet'!$T$32,'2022 Forecast Worksheet'!$X$32,'2022 Forecast Worksheet'!$AB$32,'2022 Forecast Worksheet'!#REF!,'2022 Forecast Worksheet'!#REF!,'2022 Forecast Worksheet'!#REF!,'2022 Forecast Worksheet'!#REF!,'2022 Forecast Worksheet'!#REF!,'2022 Forecast Worksheet'!#REF!,'2022 Forecast Worksheet'!$I$32,'2022 Forecast Worksheet'!$M$32</definedName>
    <definedName name="QB_FORMULA_11" localSheetId="5" hidden="1">'2023 Ops Budget'!#REF!,'2023 Ops Budget'!#REF!,'2023 Ops Budget'!$J$31,'2023 Ops Budget'!$N$31,'2023 Ops Budget'!$T$31,'2023 Ops Budget'!#REF!,'2023 Ops Budget'!#REF!,'2023 Ops Budget'!#REF!,'2023 Ops Budget'!$J$32,'2023 Ops Budget'!$N$32,'2023 Ops Budget'!$T$32,'2023 Ops Budget'!#REF!,'2023 Ops Budget'!#REF!,'2023 Ops Budget'!#REF!,'2023 Ops Budget'!$J$33,'2023 Ops Budget'!$N$33</definedName>
    <definedName name="QB_FORMULA_11" localSheetId="4" hidden="1">'CAP IMPROVE Actl 2019-2022'!$X$28,'CAP IMPROVE Actl 2019-2022'!$Z$28,'CAP IMPROVE Actl 2019-2022'!$AB$28,'CAP IMPROVE Actl 2019-2022'!$AD$28,'CAP IMPROVE Actl 2019-2022'!$AF$28,'CAP IMPROVE Actl 2019-2022'!$AH$28,'CAP IMPROVE Actl 2019-2022'!$AJ$28,'CAP IMPROVE Actl 2019-2022'!$AL$28,'CAP IMPROVE Actl 2019-2022'!$AN$28,'CAP IMPROVE Actl 2019-2022'!$AP$28,'CAP IMPROVE Actl 2019-2022'!$AR$28,'CAP IMPROVE Actl 2019-2022'!$AT$28,'CAP IMPROVE Actl 2019-2022'!$AV$28,'CAP IMPROVE Actl 2019-2022'!$AX$28,'CAP IMPROVE Actl 2019-2022'!$AZ$28,'CAP IMPROVE Actl 2019-2022'!$BB$28</definedName>
    <definedName name="QB_FORMULA_11" localSheetId="7" hidden="1">'Monthly Act Capital funds 2022'!$X$51,'Monthly Act Capital funds 2022'!$AF$51</definedName>
    <definedName name="QB_FORMULA_11" localSheetId="8" hidden="1">'OPS Actl 2019-2022'!$P$32,'OPS Actl 2019-2022'!$R$32,'OPS Actl 2019-2022'!$T$32,'OPS Actl 2019-2022'!$V$32,'OPS Actl 2019-2022'!$X$32,'OPS Actl 2019-2022'!$Z$32,'OPS Actl 2019-2022'!$AB$32,'OPS Actl 2019-2022'!$AD$32,'OPS Actl 2019-2022'!$AF$32,'OPS Actl 2019-2022'!$AH$32,'OPS Actl 2019-2022'!$AJ$32,'OPS Actl 2019-2022'!$AL$32,'OPS Actl 2019-2022'!$AN$32,'OPS Actl 2019-2022'!$AP$32,'OPS Actl 2019-2022'!$AR$32,'OPS Actl 2019-2022'!$AT$32</definedName>
    <definedName name="QB_FORMULA_11" localSheetId="9" hidden="1">'OPS Actl 21-22'!$AN$31,'OPS Actl 21-22'!$AP$31,'OPS Actl 21-22'!$AR$31,'OPS Actl 21-22'!$AT$31,'OPS Actl 21-22'!$AV$31,'OPS Actl 21-22'!$AX$31,'OPS Actl 21-22'!$AZ$31,'OPS Actl 21-22'!$BB$31,'OPS Actl 21-22'!$BD$31,'OPS Actl 21-22'!$BF$31,'OPS Actl 21-22'!$BD$32,'OPS Actl 21-22'!$BF$32,'OPS Actl 21-22'!$BD$33,'OPS Actl 21-22'!$BF$33,'OPS Actl 21-22'!$BD$34,'OPS Actl 21-22'!$BF$34</definedName>
    <definedName name="QB_FORMULA_12" localSheetId="10" hidden="1">'2020 Budget'!$L$48,'2020 Budget'!$Z$48,'2020 Budget'!$AB$48,'2020 Budget'!$AD$48,'2020 Budget'!$L$50,'2020 Budget'!$Z$50,'2020 Budget'!$AB$50,'2020 Budget'!$AD$50,'2020 Budget'!$L$51,'2020 Budget'!$Z$51,'2020 Budget'!$AB$51,'2020 Budget'!$AD$51,'2020 Budget'!$H$52,'2020 Budget'!$J$52,'2020 Budget'!$L$52,'2020 Budget'!$N$52</definedName>
    <definedName name="QB_FORMULA_12" localSheetId="11" hidden="1">'2021 Budget'!$J$50,'2021 Budget'!$L$50,'2021 Budget'!$N$50,'2021 Budget'!$T$50,'2021 Budget'!$Z$50,'2021 Budget'!$AB$50,'2021 Budget'!$AD$50,'2021 Budget'!$H$51,'2021 Budget'!$J$51,'2021 Budget'!$L$51,'2021 Budget'!$N$51,'2021 Budget'!$T$51,'2021 Budget'!$V$51,'2021 Budget'!$X$51,'2021 Budget'!$Z$51,'2021 Budget'!$AB$51</definedName>
    <definedName name="QB_FORMULA_12" localSheetId="12" hidden="1">'2022 Forecast Fix'!#REF!,'2022 Forecast Fix'!$M$52,'2022 Forecast Fix'!#REF!,'2022 Forecast Fix'!#REF!,'2022 Forecast Fix'!#REF!,'2022 Forecast Fix'!$M$53,'2022 Forecast Fix'!#REF!,'2022 Forecast Fix'!#REF!,'2022 Forecast Fix'!#REF!,'2022 Forecast Fix'!$M$55,'2022 Forecast Fix'!#REF!,'2022 Forecast Fix'!#REF!,'2022 Forecast Fix'!#REF!,'2022 Forecast Fix'!$M$56,'2022 Forecast Fix'!#REF!,'2022 Forecast Fix'!#REF!</definedName>
    <definedName name="QB_FORMULA_12" localSheetId="13" hidden="1">'2022 Forecast Worksheet'!$Q$32,'2022 Forecast Worksheet'!$U$32,'2022 Forecast Worksheet'!$Y$32,'2022 Forecast Worksheet'!$AC$32,'2022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definedName>
    <definedName name="QB_FORMULA_12" localSheetId="5" hidden="1">'2023 Ops Budget'!$T$33,'2023 Ops Budget'!#REF!,'2023 Ops Budget'!#REF!,'2023 Ops Budget'!#REF!,'2023 Ops Budget'!$H$34,'2023 Ops Budget'!$I$34,'2023 Ops Budget'!$J$34,'2023 Ops Budget'!$L$34,'2023 Ops Budget'!$M$34,'2023 Ops Budget'!$N$34,'2023 Ops Budget'!$P$34,'2023 Ops Budget'!$S$34,'2023 Ops Budget'!$T$34,'2023 Ops Budget'!#REF!,'2023 Ops Budget'!#REF!,'2023 Ops Budget'!#REF!</definedName>
    <definedName name="QB_FORMULA_12" localSheetId="4" hidden="1">'CAP IMPROVE Actl 2019-2022'!$BD$28,'CAP IMPROVE Actl 2019-2022'!$BF$28,'CAP IMPROVE Actl 2019-2022'!$BH$28,'CAP IMPROVE Actl 2019-2022'!$BJ$28,'CAP IMPROVE Actl 2019-2022'!$BL$28,'CAP IMPROVE Actl 2019-2022'!$BN$28,'CAP IMPROVE Actl 2019-2022'!$BP$28,'CAP IMPROVE Actl 2019-2022'!$H$29,'CAP IMPROVE Actl 2019-2022'!$J$29,'CAP IMPROVE Actl 2019-2022'!$L$29,'CAP IMPROVE Actl 2019-2022'!$N$29,'CAP IMPROVE Actl 2019-2022'!$P$29,'CAP IMPROVE Actl 2019-2022'!$R$29,'CAP IMPROVE Actl 2019-2022'!$T$29,'CAP IMPROVE Actl 2019-2022'!$V$29,'CAP IMPROVE Actl 2019-2022'!$X$29</definedName>
    <definedName name="QB_FORMULA_12" localSheetId="8" hidden="1">'OPS Actl 2019-2022'!$AV$32,'OPS Actl 2019-2022'!$AX$32,'OPS Actl 2019-2022'!$AZ$32,'OPS Actl 2019-2022'!$BB$32,'OPS Actl 2019-2022'!$BD$32,'OPS Actl 2019-2022'!$BF$32,'OPS Actl 2019-2022'!$BH$32,'OPS Actl 2019-2022'!$BJ$32,'OPS Actl 2019-2022'!$BL$32,'OPS Actl 2019-2022'!$BN$32,'OPS Actl 2019-2022'!#REF!,'OPS Actl 2019-2022'!#REF!,'OPS Actl 2019-2022'!#REF!,'OPS Actl 2019-2022'!#REF!,'OPS Actl 2019-2022'!#REF!,'OPS Actl 2019-2022'!$H$38</definedName>
    <definedName name="QB_FORMULA_12" localSheetId="9" hidden="1">'OPS Actl 21-22'!$BD$36,'OPS Actl 21-22'!$BF$36,'OPS Actl 21-22'!$H$37,'OPS Actl 21-22'!$J$37,'OPS Actl 21-22'!$L$37,'OPS Actl 21-22'!$N$37,'OPS Actl 21-22'!$P$37,'OPS Actl 21-22'!$R$37,'OPS Actl 21-22'!$T$37,'OPS Actl 21-22'!$V$37,'OPS Actl 21-22'!$X$37,'OPS Actl 21-22'!$Z$37,'OPS Actl 21-22'!$AB$37,'OPS Actl 21-22'!$AD$37,'OPS Actl 21-22'!$AF$37,'OPS Actl 21-22'!$AH$37</definedName>
    <definedName name="QB_FORMULA_13" localSheetId="10" hidden="1">'2020 Budget'!$T$52,'2020 Budget'!$Z$52,'2020 Budget'!$AB$52,'2020 Budget'!$AD$52,'2020 Budget'!$L$53,'2020 Budget'!$Z$53,'2020 Budget'!$AB$53,'2020 Budget'!$AD$53,'2020 Budget'!$Z$55,'2020 Budget'!$AB$55,'2020 Budget'!$AD$55,'2020 Budget'!$L$56,'2020 Budget'!$Z$56,'2020 Budget'!$AB$56,'2020 Budget'!$AD$56,'2020 Budget'!$H$57</definedName>
    <definedName name="QB_FORMULA_13" localSheetId="11" hidden="1">'2021 Budget'!$AD$51,'2021 Budget'!$L$53,'2021 Budget'!$Z$53,'2021 Budget'!$AB$53,'2021 Budget'!$AD$53,'2021 Budget'!$L$54,'2021 Budget'!$Z$54,'2021 Budget'!$AB$54,'2021 Budget'!$AD$54,'2021 Budget'!$L$56,'2021 Budget'!$Z$56,'2021 Budget'!$AB$56,'2021 Budget'!$AD$56,'2021 Budget'!$L$57,'2021 Budget'!$Z$57,'2021 Budget'!$AB$57</definedName>
    <definedName name="QB_FORMULA_13" localSheetId="12" hidden="1">'2022 Forecast Fix'!#REF!,'2022 Forecast Fix'!$M$57,'2022 Forecast Fix'!#REF!,'2022 Forecast Fix'!#REF!,'2022 Forecast Fix'!#REF!,'2022 Forecast Fix'!$H$58,'2022 Forecast Fix'!$L$58,'2022 Forecast Fix'!$M$58,'2022 Forecast Fix'!#REF!,'2022 Forecast Fix'!#REF!,'2022 Forecast Fix'!#REF!,'2022 Forecast Fix'!#REF!,'2022 Forecast Fix'!#REF!,'2022 Forecast Fix'!$M$59,'2022 Forecast Fix'!#REF!,'2022 Forecast Fix'!#REF!</definedName>
    <definedName name="QB_FORMULA_13" localSheetId="13" hidden="1">'2022 Forecast Worksheet'!#REF!,'2022 Forecast Worksheet'!#REF!,'2022 Forecast Worksheet'!#REF!,'2022 Forecast Worksheet'!#REF!,'2022 Forecast Worksheet'!#REF!,'2022 Forecast Worksheet'!$H$38,'2022 Forecast Worksheet'!$L$38,'2022 Forecast Worksheet'!$P$38,'2022 Forecast Worksheet'!$T$38,'2022 Forecast Worksheet'!$X$38,'2022 Forecast Worksheet'!$AB$38,'2022 Forecast Worksheet'!#REF!,'2022 Forecast Worksheet'!#REF!,'2022 Forecast Worksheet'!#REF!,'2022 Forecast Worksheet'!#REF!,'2022 Forecast Worksheet'!#REF!</definedName>
    <definedName name="QB_FORMULA_13" localSheetId="5" hidden="1">'2023 Ops Budget'!$J$36,'2023 Ops Budget'!$N$36,'2023 Ops Budget'!$T$36,'2023 Ops Budget'!#REF!,'2023 Ops Budget'!#REF!,'2023 Ops Budget'!#REF!,'2023 Ops Budget'!$J$38,'2023 Ops Budget'!$N$38,'2023 Ops Budget'!$T$38,'2023 Ops Budget'!#REF!,'2023 Ops Budget'!#REF!,'2023 Ops Budget'!#REF!,'2023 Ops Budget'!$J$40,'2023 Ops Budget'!$N$40,'2023 Ops Budget'!$T$40,'2023 Ops Budget'!#REF!</definedName>
    <definedName name="QB_FORMULA_13" localSheetId="4" hidden="1">'CAP IMPROVE Actl 2019-2022'!$Z$29,'CAP IMPROVE Actl 2019-2022'!$AB$29,'CAP IMPROVE Actl 2019-2022'!$AD$29,'CAP IMPROVE Actl 2019-2022'!$AF$29,'CAP IMPROVE Actl 2019-2022'!$AH$29,'CAP IMPROVE Actl 2019-2022'!$AJ$29,'CAP IMPROVE Actl 2019-2022'!$AL$29,'CAP IMPROVE Actl 2019-2022'!$AN$29,'CAP IMPROVE Actl 2019-2022'!$AP$29,'CAP IMPROVE Actl 2019-2022'!$AR$29,'CAP IMPROVE Actl 2019-2022'!$AT$29,'CAP IMPROVE Actl 2019-2022'!$AV$29,'CAP IMPROVE Actl 2019-2022'!$AX$29,'CAP IMPROVE Actl 2019-2022'!$AZ$29,'CAP IMPROVE Actl 2019-2022'!$BB$29,'CAP IMPROVE Actl 2019-2022'!$BD$29</definedName>
    <definedName name="QB_FORMULA_13" localSheetId="8" hidden="1">'OPS Actl 2019-2022'!$J$38,'OPS Actl 2019-2022'!$L$38,'OPS Actl 2019-2022'!$N$38,'OPS Actl 2019-2022'!$P$38,'OPS Actl 2019-2022'!$R$38,'OPS Actl 2019-2022'!$T$38,'OPS Actl 2019-2022'!$V$38,'OPS Actl 2019-2022'!$X$38,'OPS Actl 2019-2022'!$Z$38,'OPS Actl 2019-2022'!$AB$38,'OPS Actl 2019-2022'!$AD$38,'OPS Actl 2019-2022'!$AF$38,'OPS Actl 2019-2022'!$AH$38,'OPS Actl 2019-2022'!$AJ$38,'OPS Actl 2019-2022'!$AL$38,'OPS Actl 2019-2022'!$AN$38</definedName>
    <definedName name="QB_FORMULA_13" localSheetId="9" hidden="1">'OPS Actl 21-22'!$AJ$37,'OPS Actl 21-22'!$AL$37,'OPS Actl 21-22'!$AN$37,'OPS Actl 21-22'!$AP$37,'OPS Actl 21-22'!$AR$37,'OPS Actl 21-22'!$AT$37,'OPS Actl 21-22'!$AV$37,'OPS Actl 21-22'!$AX$37,'OPS Actl 21-22'!$AZ$37,'OPS Actl 21-22'!$BB$37,'OPS Actl 21-22'!$BD$37,'OPS Actl 21-22'!$BF$37,'OPS Actl 21-22'!$H$38,'OPS Actl 21-22'!$J$38,'OPS Actl 21-22'!$L$38,'OPS Actl 21-22'!$N$38</definedName>
    <definedName name="QB_FORMULA_14" localSheetId="10" hidden="1">'2020 Budget'!$J$57,'2020 Budget'!$L$57,'2020 Budget'!$N$57,'2020 Budget'!$T$57,'2020 Budget'!$Z$57,'2020 Budget'!$AB$57,'2020 Budget'!$AD$57,'2020 Budget'!$L$58,'2020 Budget'!$Z$58,'2020 Budget'!$AB$58,'2020 Budget'!$AD$58,'2020 Budget'!$L$59,'2020 Budget'!$Z$59,'2020 Budget'!$AB$59,'2020 Budget'!$AD$59,'2020 Budget'!$H$60</definedName>
    <definedName name="QB_FORMULA_14" localSheetId="11" hidden="1">'2021 Budget'!$AD$57,'2021 Budget'!$L$58,'2021 Budget'!$Z$58,'2021 Budget'!$AB$58,'2021 Budget'!$AD$58,'2021 Budget'!$H$59,'2021 Budget'!$J$59,'2021 Budget'!$L$59,'2021 Budget'!$N$59,'2021 Budget'!$T$59,'2021 Budget'!$Z$59,'2021 Budget'!$AB$59,'2021 Budget'!$AD$59,'2021 Budget'!$L$60,'2021 Budget'!$Z$60,'2021 Budget'!$AB$60</definedName>
    <definedName name="QB_FORMULA_14" localSheetId="12" hidden="1">'2022 Forecast Fix'!#REF!,'2022 Forecast Fix'!#REF!,'2022 Forecast Fix'!#REF!,'2022 Forecast Fix'!#REF!,'2022 Forecast Fix'!$M$62,'2022 Forecast Fix'!#REF!,'2022 Forecast Fix'!#REF!,'2022 Forecast Fix'!#REF!,'2022 Forecast Fix'!$H$63,'2022 Forecast Fix'!$L$63,'2022 Forecast Fix'!$M$63,'2022 Forecast Fix'!#REF!,'2022 Forecast Fix'!#REF!,'2022 Forecast Fix'!#REF!,'2022 Forecast Fix'!#REF!,'2022 Forecast Fix'!#REF!</definedName>
    <definedName name="QB_FORMULA_14" localSheetId="13" hidden="1">'2022 Forecast Worksheet'!#REF!,'2022 Forecast Worksheet'!$I$38,'2022 Forecast Worksheet'!$M$38,'2022 Forecast Worksheet'!$Q$38,'2022 Forecast Worksheet'!$U$38,'2022 Forecast Worksheet'!$Y$38,'2022 Forecast Worksheet'!$AC$38,'2022 Forecast Worksheet'!#REF!,'2022 Forecast Worksheet'!#REF!,'2022 Forecast Worksheet'!#REF!,'2022 Forecast Worksheet'!#REF!,'2022 Forecast Worksheet'!#REF!,'2022 Forecast Worksheet'!#REF!,'2022 Forecast Worksheet'!#REF!,'2022 Forecast Worksheet'!#REF!,'2022 Forecast Worksheet'!#REF!</definedName>
    <definedName name="QB_FORMULA_14" localSheetId="5" hidden="1">'2023 Ops Budget'!#REF!,'2023 Ops Budget'!#REF!,'2023 Ops Budget'!$J$41,'2023 Ops Budget'!$N$41,'2023 Ops Budget'!$T$41,'2023 Ops Budget'!#REF!,'2023 Ops Budget'!#REF!,'2023 Ops Budget'!#REF!,'2023 Ops Budget'!$N$42,'2023 Ops Budget'!$T$42,'2023 Ops Budget'!#REF!,'2023 Ops Budget'!#REF!,'2023 Ops Budget'!#REF!,'2023 Ops Budget'!#REF!,'2023 Ops Budget'!#REF!,'2023 Ops Budget'!#REF!</definedName>
    <definedName name="QB_FORMULA_14" localSheetId="4" hidden="1">'CAP IMPROVE Actl 2019-2022'!$BF$29,'CAP IMPROVE Actl 2019-2022'!$BH$29,'CAP IMPROVE Actl 2019-2022'!$BJ$29,'CAP IMPROVE Actl 2019-2022'!$BL$29,'CAP IMPROVE Actl 2019-2022'!$BN$29,'CAP IMPROVE Actl 2019-2022'!$BP$29,'CAP IMPROVE Actl 2019-2022'!$BP$30,'CAP IMPROVE Actl 2019-2022'!$BP$32,'CAP IMPROVE Actl 2019-2022'!$BP$33,'CAP IMPROVE Actl 2019-2022'!$BP$34,'CAP IMPROVE Actl 2019-2022'!$BP$35,'CAP IMPROVE Actl 2019-2022'!$BP$36,'CAP IMPROVE Actl 2019-2022'!$H$37,'CAP IMPROVE Actl 2019-2022'!$J$37,'CAP IMPROVE Actl 2019-2022'!$L$37,'CAP IMPROVE Actl 2019-2022'!$N$37</definedName>
    <definedName name="QB_FORMULA_14" localSheetId="8" hidden="1">'OPS Actl 2019-2022'!$AP$38,'OPS Actl 2019-2022'!$AR$38,'OPS Actl 2019-2022'!$AT$38,'OPS Actl 2019-2022'!$AV$38,'OPS Actl 2019-2022'!$AX$38,'OPS Actl 2019-2022'!$AZ$38,'OPS Actl 2019-2022'!$BB$38,'OPS Actl 2019-2022'!$BD$38,'OPS Actl 2019-2022'!$BF$38,'OPS Actl 2019-2022'!$BH$38,'OPS Actl 2019-2022'!$BJ$38,'OPS Actl 2019-2022'!$BL$38,'OPS Actl 2019-2022'!$BN$38,'OPS Actl 2019-2022'!#REF!,'OPS Actl 2019-2022'!$H$39,'OPS Actl 2019-2022'!$J$39</definedName>
    <definedName name="QB_FORMULA_14" localSheetId="9" hidden="1">'OPS Actl 21-22'!$P$38,'OPS Actl 21-22'!$R$38,'OPS Actl 21-22'!$T$38,'OPS Actl 21-22'!$V$38,'OPS Actl 21-22'!$X$38,'OPS Actl 21-22'!$Z$38,'OPS Actl 21-22'!$AB$38,'OPS Actl 21-22'!$AD$38,'OPS Actl 21-22'!$AF$38,'OPS Actl 21-22'!$AH$38,'OPS Actl 21-22'!$AJ$38,'OPS Actl 21-22'!$AL$38,'OPS Actl 21-22'!$AN$38,'OPS Actl 21-22'!$AP$38,'OPS Actl 21-22'!$AR$38,'OPS Actl 21-22'!$AT$38</definedName>
    <definedName name="QB_FORMULA_15" localSheetId="10" hidden="1">'2020 Budget'!$J$60,'2020 Budget'!$L$60,'2020 Budget'!$N$60,'2020 Budget'!$T$60,'2020 Budget'!$Z$60,'2020 Budget'!$AB$60,'2020 Budget'!$AD$60,'2020 Budget'!$L$62,'2020 Budget'!$Z$62,'2020 Budget'!$AB$62,'2020 Budget'!$AD$62,'2020 Budget'!$L$63,'2020 Budget'!$Z$63,'2020 Budget'!$AB$63,'2020 Budget'!$AD$63,'2020 Budget'!$L$64</definedName>
    <definedName name="QB_FORMULA_15" localSheetId="11" hidden="1">'2021 Budget'!$AD$60,'2021 Budget'!$Z$62,'2021 Budget'!$AB$62,'2021 Budget'!$AD$62,'2021 Budget'!$L$63,'2021 Budget'!$Z$63,'2021 Budget'!$AB$63,'2021 Budget'!$AD$63,'2021 Budget'!$H$64,'2021 Budget'!$J$64,'2021 Budget'!$L$64,'2021 Budget'!$N$64,'2021 Budget'!$T$64,'2021 Budget'!$Z$64,'2021 Budget'!$AB$64,'2021 Budget'!$AD$64</definedName>
    <definedName name="QB_FORMULA_15" localSheetId="12" hidden="1">'2022 Forecast Fix'!$M$64,'2022 Forecast Fix'!#REF!,'2022 Forecast Fix'!#REF!,'2022 Forecast Fix'!#REF!,'2022 Forecast Fix'!$M$65,'2022 Forecast Fix'!#REF!,'2022 Forecast Fix'!#REF!,'2022 Forecast Fix'!#REF!,'2022 Forecast Fix'!$H$66,'2022 Forecast Fix'!$L$66,'2022 Forecast Fix'!$M$66,'2022 Forecast Fix'!#REF!,'2022 Forecast Fix'!#REF!,'2022 Forecast Fix'!#REF!,'2022 Forecast Fix'!#REF!,'2022 Forecast Fix'!#REF!</definedName>
    <definedName name="QB_FORMULA_15" localSheetId="13" hidden="1">'2022 Forecast Worksheet'!#REF!,'2022 Forecast Worksheet'!#REF!,'2022 Forecast Worksheet'!#REF!,'2022 Forecast Worksheet'!#REF!,'2022 Forecast Worksheet'!$H$39,'2022 Forecast Worksheet'!$L$39,'2022 Forecast Worksheet'!$P$39,'2022 Forecast Worksheet'!$T$39,'2022 Forecast Worksheet'!$X$39,'2022 Forecast Worksheet'!$AB$39,'2022 Forecast Worksheet'!#REF!,'2022 Forecast Worksheet'!#REF!,'2022 Forecast Worksheet'!#REF!,'2022 Forecast Worksheet'!#REF!,'2022 Forecast Worksheet'!#REF!,'2022 Forecast Worksheet'!#REF!</definedName>
    <definedName name="QB_FORMULA_15" localSheetId="5" hidden="1">'2023 Ops Budget'!#REF!,'2023 Ops Budget'!#REF!,'2023 Ops Budget'!$H$43,'2023 Ops Budget'!$I$43,'2023 Ops Budget'!$J$43,'2023 Ops Budget'!$L$43,'2023 Ops Budget'!$M$43,'2023 Ops Budget'!$N$43,'2023 Ops Budget'!$P$43,'2023 Ops Budget'!$S$43,'2023 Ops Budget'!$T$43,'2023 Ops Budget'!#REF!,'2023 Ops Budget'!#REF!,'2023 Ops Budget'!#REF!,'2023 Ops Budget'!$J$44,'2023 Ops Budget'!$N$44</definedName>
    <definedName name="QB_FORMULA_15" localSheetId="4" hidden="1">'CAP IMPROVE Actl 2019-2022'!$P$37,'CAP IMPROVE Actl 2019-2022'!$R$37,'CAP IMPROVE Actl 2019-2022'!$T$37,'CAP IMPROVE Actl 2019-2022'!$V$37,'CAP IMPROVE Actl 2019-2022'!$X$37,'CAP IMPROVE Actl 2019-2022'!$Z$37,'CAP IMPROVE Actl 2019-2022'!$AB$37,'CAP IMPROVE Actl 2019-2022'!$AD$37,'CAP IMPROVE Actl 2019-2022'!$AF$37,'CAP IMPROVE Actl 2019-2022'!$AH$37,'CAP IMPROVE Actl 2019-2022'!$AJ$37,'CAP IMPROVE Actl 2019-2022'!$AL$37,'CAP IMPROVE Actl 2019-2022'!$AN$37,'CAP IMPROVE Actl 2019-2022'!$AP$37,'CAP IMPROVE Actl 2019-2022'!$AR$37,'CAP IMPROVE Actl 2019-2022'!$AT$37</definedName>
    <definedName name="QB_FORMULA_15" localSheetId="8" hidden="1">'OPS Actl 2019-2022'!$L$39,'OPS Actl 2019-2022'!$N$39,'OPS Actl 2019-2022'!$P$39,'OPS Actl 2019-2022'!$R$39,'OPS Actl 2019-2022'!$T$39,'OPS Actl 2019-2022'!$V$39,'OPS Actl 2019-2022'!$X$39,'OPS Actl 2019-2022'!$Z$39,'OPS Actl 2019-2022'!$AB$39,'OPS Actl 2019-2022'!$AD$39,'OPS Actl 2019-2022'!$AF$39,'OPS Actl 2019-2022'!$AH$39,'OPS Actl 2019-2022'!$AJ$39,'OPS Actl 2019-2022'!$AL$39,'OPS Actl 2019-2022'!$AN$39,'OPS Actl 2019-2022'!$AP$39</definedName>
    <definedName name="QB_FORMULA_15" localSheetId="9" hidden="1">'OPS Actl 21-22'!$AV$38,'OPS Actl 21-22'!$AX$38,'OPS Actl 21-22'!$AZ$38,'OPS Actl 21-22'!$BB$38,'OPS Actl 21-22'!$BD$38,'OPS Actl 21-22'!$BF$38,'OPS Actl 21-22'!$BD$40,'OPS Actl 21-22'!$BF$40,'OPS Actl 21-22'!$BD$41,'OPS Actl 21-22'!$BF$41,'OPS Actl 21-22'!$BD$43,'OPS Actl 21-22'!$BF$43,'OPS Actl 21-22'!$BD$44,'OPS Actl 21-22'!$BF$44,'OPS Actl 21-22'!$H$45,'OPS Actl 21-22'!$J$45</definedName>
    <definedName name="QB_FORMULA_16" localSheetId="10" hidden="1">'2020 Budget'!$Z$64,'2020 Budget'!$AB$64,'2020 Budget'!$AD$64,'2020 Budget'!$L$65,'2020 Budget'!$Z$65,'2020 Budget'!$AB$65,'2020 Budget'!$AD$65,'2020 Budget'!$H$66,'2020 Budget'!$J$66,'2020 Budget'!$L$66,'2020 Budget'!$N$66,'2020 Budget'!$T$66,'2020 Budget'!$Z$66,'2020 Budget'!$AB$66,'2020 Budget'!$AD$66,'2020 Budget'!$X$67</definedName>
    <definedName name="QB_FORMULA_16" localSheetId="11" hidden="1">'2021 Budget'!$L$65,'2021 Budget'!$Z$65,'2021 Budget'!$AB$65,'2021 Budget'!$AD$65,'2021 Budget'!$L$66,'2021 Budget'!$Z$66,'2021 Budget'!$AB$66,'2021 Budget'!$AD$66,'2021 Budget'!$H$67,'2021 Budget'!$J$67,'2021 Budget'!$L$67,'2021 Budget'!$N$67,'2021 Budget'!$T$67,'2021 Budget'!$Z$67,'2021 Budget'!$AB$67,'2021 Budget'!$AD$67</definedName>
    <definedName name="QB_FORMULA_16" localSheetId="12" hidden="1">'2022 Forecast Fix'!$M$68,'2022 Forecast Fix'!#REF!,'2022 Forecast Fix'!#REF!,'2022 Forecast Fix'!#REF!,'2022 Forecast Fix'!$M$69,'2022 Forecast Fix'!#REF!,'2022 Forecast Fix'!#REF!,'2022 Forecast Fix'!#REF!,'2022 Forecast Fix'!$M$70,'2022 Forecast Fix'!#REF!,'2022 Forecast Fix'!#REF!,'2022 Forecast Fix'!#REF!,'2022 Forecast Fix'!$M$71,'2022 Forecast Fix'!#REF!,'2022 Forecast Fix'!#REF!,'2022 Forecast Fix'!#REF!</definedName>
    <definedName name="QB_FORMULA_16" localSheetId="13" hidden="1">'2022 Forecast Worksheet'!$I$39,'2022 Forecast Worksheet'!$M$39,'2022 Forecast Worksheet'!$Q$39,'2022 Forecast Worksheet'!$U$39,'2022 Forecast Worksheet'!$Y$39,'2022 Forecast Worksheet'!$AC$39,'2022 Forecast Worksheet'!#REF!,'2022 Forecast Worksheet'!#REF!,'2022 Forecast Worksheet'!#REF!,'2022 Forecast Worksheet'!#REF!,'2022 Forecast Worksheet'!#REF!,'2022 Forecast Worksheet'!#REF!,'2022 Forecast Worksheet'!#REF!,'2022 Forecast Worksheet'!#REF!,'2022 Forecast Worksheet'!#REF!,'2022 Forecast Worksheet'!#REF!</definedName>
    <definedName name="QB_FORMULA_16" localSheetId="5" hidden="1">'2023 Ops Budget'!$T$44,'2023 Ops Budget'!#REF!,'2023 Ops Budget'!#REF!,'2023 Ops Budget'!#REF!,'2023 Ops Budget'!#REF!,'2023 Ops Budget'!$J$47,'2023 Ops Budget'!$N$47,'2023 Ops Budget'!$T$47,'2023 Ops Budget'!#REF!,'2023 Ops Budget'!#REF!,'2023 Ops Budget'!#REF!,'2023 Ops Budget'!$H$48,'2023 Ops Budget'!$I$48,'2023 Ops Budget'!$J$48,'2023 Ops Budget'!$L$48,'2023 Ops Budget'!$M$48</definedName>
    <definedName name="QB_FORMULA_16" localSheetId="4" hidden="1">'CAP IMPROVE Actl 2019-2022'!$AV$37,'CAP IMPROVE Actl 2019-2022'!$AX$37,'CAP IMPROVE Actl 2019-2022'!$AZ$37,'CAP IMPROVE Actl 2019-2022'!$BB$37,'CAP IMPROVE Actl 2019-2022'!$BD$37,'CAP IMPROVE Actl 2019-2022'!$BF$37,'CAP IMPROVE Actl 2019-2022'!$BH$37,'CAP IMPROVE Actl 2019-2022'!$BJ$37,'CAP IMPROVE Actl 2019-2022'!$BL$37,'CAP IMPROVE Actl 2019-2022'!$BN$37,'CAP IMPROVE Actl 2019-2022'!$BP$37,'CAP IMPROVE Actl 2019-2022'!$BP$38,'CAP IMPROVE Actl 2019-2022'!$BP$39,'CAP IMPROVE Actl 2019-2022'!$H$40,'CAP IMPROVE Actl 2019-2022'!$J$40,'CAP IMPROVE Actl 2019-2022'!$L$40</definedName>
    <definedName name="QB_FORMULA_16" localSheetId="8" hidden="1">'OPS Actl 2019-2022'!$AR$39,'OPS Actl 2019-2022'!$AT$39,'OPS Actl 2019-2022'!$AV$39,'OPS Actl 2019-2022'!$AX$39,'OPS Actl 2019-2022'!$AZ$39,'OPS Actl 2019-2022'!$BB$39,'OPS Actl 2019-2022'!$BD$39,'OPS Actl 2019-2022'!$BF$39,'OPS Actl 2019-2022'!$BH$39,'OPS Actl 2019-2022'!$BJ$39,'OPS Actl 2019-2022'!$BL$39,'OPS Actl 2019-2022'!$BN$39,'OPS Actl 2019-2022'!#REF!,'OPS Actl 2019-2022'!#REF!,'OPS Actl 2019-2022'!#REF!,'OPS Actl 2019-2022'!#REF!</definedName>
    <definedName name="QB_FORMULA_16" localSheetId="9" hidden="1">'OPS Actl 21-22'!$L$45,'OPS Actl 21-22'!$N$45,'OPS Actl 21-22'!$P$45,'OPS Actl 21-22'!$R$45,'OPS Actl 21-22'!$T$45,'OPS Actl 21-22'!$V$45,'OPS Actl 21-22'!$X$45,'OPS Actl 21-22'!$Z$45,'OPS Actl 21-22'!$AB$45,'OPS Actl 21-22'!$AD$45,'OPS Actl 21-22'!$AF$45,'OPS Actl 21-22'!$AH$45,'OPS Actl 21-22'!$AJ$45,'OPS Actl 21-22'!$AL$45,'OPS Actl 21-22'!$AN$45,'OPS Actl 21-22'!$AP$45</definedName>
    <definedName name="QB_FORMULA_17" localSheetId="10" hidden="1">'2020 Budget'!$Z$67,'2020 Budget'!$AB$67,'2020 Budget'!$AD$67,'2020 Budget'!$X$69,'2020 Budget'!$Z$69,'2020 Budget'!$AB$69,'2020 Budget'!$AD$69,'2020 Budget'!$X$70,'2020 Budget'!$Z$70,'2020 Budget'!$AB$70,'2020 Budget'!$AD$70,'2020 Budget'!$R$71,'2020 Budget'!$Z$71,'2020 Budget'!$AB$71,'2020 Budget'!$AD$71,'2020 Budget'!$X$72</definedName>
    <definedName name="QB_FORMULA_17" localSheetId="11" hidden="1">'2021 Budget'!$L$69,'2021 Budget'!$Z$69,'2021 Budget'!$AB$69,'2021 Budget'!$AD$69,'2021 Budget'!$L$70,'2021 Budget'!$Z$70,'2021 Budget'!$AB$70,'2021 Budget'!$AD$70,'2021 Budget'!$L$71,'2021 Budget'!$Z$71,'2021 Budget'!$AB$71,'2021 Budget'!$AD$71,'2021 Budget'!$L$72,'2021 Budget'!$Z$72,'2021 Budget'!$AB$72,'2021 Budget'!$AD$72</definedName>
    <definedName name="QB_FORMULA_17" localSheetId="12" hidden="1">'2022 Forecast Fix'!$H$72,'2022 Forecast Fix'!$L$72,'2022 Forecast Fix'!$M$72,'2022 Forecast Fix'!#REF!,'2022 Forecast Fix'!#REF!,'2022 Forecast Fix'!#REF!,'2022 Forecast Fix'!#REF!,'2022 Forecast Fix'!#REF!,'2022 Forecast Fix'!#REF!,'2022 Forecast Fix'!#REF!,'2022 Forecast Fix'!#REF!,'2022 Forecast Fix'!#REF!,'2022 Forecast Fix'!#REF!,'2022 Forecast Fix'!#REF!,'2022 Forecast Fix'!#REF!,'2022 Forecast Fix'!#REF!</definedName>
    <definedName name="QB_FORMULA_17" localSheetId="13" hidden="1">'2022 Forecast Worksheet'!#REF!,'2022 Forecast Worksheet'!#REF!,'2022 Forecast Worksheet'!#REF!,'2022 Forecast Worksheet'!#REF!,'2022 Forecast Worksheet'!#REF!,'2022 Forecast Worksheet'!#REF!,'2022 Forecast Worksheet'!#REF!,'2022 Forecast Worksheet'!$H$47,'2022 Forecast Worksheet'!$L$47,'2022 Forecast Worksheet'!$P$47,'2022 Forecast Worksheet'!$T$47,'2022 Forecast Worksheet'!$X$47,'2022 Forecast Worksheet'!$AB$47,'2022 Forecast Worksheet'!#REF!,'2022 Forecast Worksheet'!#REF!,'2022 Forecast Worksheet'!#REF!</definedName>
    <definedName name="QB_FORMULA_17" localSheetId="5" hidden="1">'2023 Ops Budget'!$N$48,'2023 Ops Budget'!$P$48,'2023 Ops Budget'!$S$48,'2023 Ops Budget'!$T$48,'2023 Ops Budget'!#REF!,'2023 Ops Budget'!#REF!,'2023 Ops Budget'!#REF!,'2023 Ops Budget'!$J$49,'2023 Ops Budget'!$N$49,'2023 Ops Budget'!$T$49,'2023 Ops Budget'!#REF!,'2023 Ops Budget'!#REF!,'2023 Ops Budget'!#REF!,'2023 Ops Budget'!$J$50,'2023 Ops Budget'!$N$50,'2023 Ops Budget'!$T$50</definedName>
    <definedName name="QB_FORMULA_17" localSheetId="4" hidden="1">'CAP IMPROVE Actl 2019-2022'!$N$40,'CAP IMPROVE Actl 2019-2022'!$P$40,'CAP IMPROVE Actl 2019-2022'!$R$40,'CAP IMPROVE Actl 2019-2022'!$T$40,'CAP IMPROVE Actl 2019-2022'!$V$40,'CAP IMPROVE Actl 2019-2022'!$X$40,'CAP IMPROVE Actl 2019-2022'!$Z$40,'CAP IMPROVE Actl 2019-2022'!$AB$40,'CAP IMPROVE Actl 2019-2022'!$AD$40,'CAP IMPROVE Actl 2019-2022'!$AF$40,'CAP IMPROVE Actl 2019-2022'!$AH$40,'CAP IMPROVE Actl 2019-2022'!$AJ$40,'CAP IMPROVE Actl 2019-2022'!$AL$40,'CAP IMPROVE Actl 2019-2022'!$AN$40,'CAP IMPROVE Actl 2019-2022'!$AP$40,'CAP IMPROVE Actl 2019-2022'!$AR$40</definedName>
    <definedName name="QB_FORMULA_17" localSheetId="8" hidden="1">'OPS Actl 2019-2022'!#REF!,'OPS Actl 2019-2022'!$H$46,'OPS Actl 2019-2022'!$J$46,'OPS Actl 2019-2022'!$L$46,'OPS Actl 2019-2022'!$N$46,'OPS Actl 2019-2022'!$P$46,'OPS Actl 2019-2022'!$R$46,'OPS Actl 2019-2022'!$T$46,'OPS Actl 2019-2022'!$V$46,'OPS Actl 2019-2022'!$X$46,'OPS Actl 2019-2022'!$Z$46,'OPS Actl 2019-2022'!$AB$46,'OPS Actl 2019-2022'!$AD$46,'OPS Actl 2019-2022'!$AF$46,'OPS Actl 2019-2022'!$AH$46,'OPS Actl 2019-2022'!$AJ$46</definedName>
    <definedName name="QB_FORMULA_17" localSheetId="9" hidden="1">'OPS Actl 21-22'!$AR$45,'OPS Actl 21-22'!$AT$45,'OPS Actl 21-22'!$AV$45,'OPS Actl 21-22'!$AX$45,'OPS Actl 21-22'!$AZ$45,'OPS Actl 21-22'!$BB$45,'OPS Actl 21-22'!$BD$45,'OPS Actl 21-22'!$BF$45,'OPS Actl 21-22'!$BD$46,'OPS Actl 21-22'!$BF$46,'OPS Actl 21-22'!$BD$48,'OPS Actl 21-22'!$BF$48,'OPS Actl 21-22'!$BD$49,'OPS Actl 21-22'!$BF$49,'OPS Actl 21-22'!$H$50,'OPS Actl 21-22'!$J$50</definedName>
    <definedName name="QB_FORMULA_18" localSheetId="10" hidden="1">'2020 Budget'!$Z$72,'2020 Budget'!$AB$72,'2020 Budget'!$AD$72,'2020 Budget'!$R$73,'2020 Budget'!$X$73,'2020 Budget'!$Z$73,'2020 Budget'!$AB$73,'2020 Budget'!$AD$73,'2020 Budget'!$R$74,'2020 Budget'!$Z$74,'2020 Budget'!$AB$74,'2020 Budget'!$AD$74,'2020 Budget'!$X$75,'2020 Budget'!$Z$75,'2020 Budget'!$AB$75,'2020 Budget'!$AD$75</definedName>
    <definedName name="QB_FORMULA_18" localSheetId="11" hidden="1">'2021 Budget'!$H$73,'2021 Budget'!$J$73,'2021 Budget'!$L$73,'2021 Budget'!$N$73,'2021 Budget'!$T$73,'2021 Budget'!$Z$73,'2021 Budget'!$AB$73,'2021 Budget'!$AD$73,'2021 Budget'!$X$74,'2021 Budget'!$Z$74,'2021 Budget'!$AB$74,'2021 Budget'!$AD$74,'2021 Budget'!$Z$76,'2021 Budget'!$AB$76,'2021 Budget'!$AD$76,'2021 Budget'!$R$77</definedName>
    <definedName name="QB_FORMULA_18" localSheetId="12" hidden="1">'2022 Forecast Fix'!#REF!,'2022 Forecast Fix'!#REF!,'2022 Forecast Fix'!#REF!,'2022 Forecast Fix'!#REF!,'2022 Forecast Fix'!#REF!,'2022 Forecast Fix'!#REF!,'2022 Forecast Fix'!#REF!,'2022 Forecast Fix'!#REF!,'2022 Forecast Fix'!#REF!,'2022 Forecast Fix'!#REF!,'2022 Forecast Fix'!#REF!,'2022 Forecast Fix'!#REF!,'2022 Forecast Fix'!#REF!,'2022 Forecast Fix'!$H$79,'2022 Forecast Fix'!#REF!,'2022 Forecast Fix'!#REF!</definedName>
    <definedName name="QB_FORMULA_18" localSheetId="13" hidden="1">'2022 Forecast Worksheet'!#REF!,'2022 Forecast Worksheet'!#REF!,'2022 Forecast Worksheet'!#REF!,'2022 Forecast Worksheet'!$I$47,'2022 Forecast Worksheet'!$M$47,'2022 Forecast Worksheet'!$Q$47,'2022 Forecast Worksheet'!$U$47,'2022 Forecast Worksheet'!$Y$47,'2022 Forecast Worksheet'!$AC$47,'2022 Forecast Worksheet'!#REF!,'2022 Forecast Worksheet'!#REF!,'2022 Forecast Worksheet'!#REF!,'2022 Forecast Worksheet'!#REF!,'2022 Forecast Worksheet'!#REF!,'2022 Forecast Worksheet'!#REF!,'2022 Forecast Worksheet'!#REF!</definedName>
    <definedName name="QB_FORMULA_18" localSheetId="5" hidden="1">'2023 Ops Budget'!#REF!,'2023 Ops Budget'!#REF!,'2023 Ops Budget'!#REF!,'2023 Ops Budget'!$H$51,'2023 Ops Budget'!$I$51,'2023 Ops Budget'!$J$51,'2023 Ops Budget'!$L$51,'2023 Ops Budget'!$M$51,'2023 Ops Budget'!$N$51,'2023 Ops Budget'!$P$51,'2023 Ops Budget'!$S$51,'2023 Ops Budget'!$T$51,'2023 Ops Budget'!#REF!,'2023 Ops Budget'!#REF!,'2023 Ops Budget'!#REF!,'2023 Ops Budget'!$J$53</definedName>
    <definedName name="QB_FORMULA_18" localSheetId="4" hidden="1">'CAP IMPROVE Actl 2019-2022'!$AT$40,'CAP IMPROVE Actl 2019-2022'!$AV$40,'CAP IMPROVE Actl 2019-2022'!$AX$40,'CAP IMPROVE Actl 2019-2022'!$AZ$40,'CAP IMPROVE Actl 2019-2022'!$BB$40,'CAP IMPROVE Actl 2019-2022'!$BD$40,'CAP IMPROVE Actl 2019-2022'!$BF$40,'CAP IMPROVE Actl 2019-2022'!$BH$40,'CAP IMPROVE Actl 2019-2022'!$BJ$40,'CAP IMPROVE Actl 2019-2022'!$BL$40,'CAP IMPROVE Actl 2019-2022'!$BN$40,'CAP IMPROVE Actl 2019-2022'!$BP$40,'CAP IMPROVE Actl 2019-2022'!$H$41,'CAP IMPROVE Actl 2019-2022'!$J$41,'CAP IMPROVE Actl 2019-2022'!$L$41,'CAP IMPROVE Actl 2019-2022'!$N$41</definedName>
    <definedName name="QB_FORMULA_18" localSheetId="8" hidden="1">'OPS Actl 2019-2022'!$AL$46,'OPS Actl 2019-2022'!$AN$46,'OPS Actl 2019-2022'!$AP$46,'OPS Actl 2019-2022'!$AR$46,'OPS Actl 2019-2022'!$AT$46,'OPS Actl 2019-2022'!$AV$46,'OPS Actl 2019-2022'!$AX$46,'OPS Actl 2019-2022'!$AZ$46,'OPS Actl 2019-2022'!$BB$46,'OPS Actl 2019-2022'!$BD$46,'OPS Actl 2019-2022'!$BF$46,'OPS Actl 2019-2022'!$BH$46,'OPS Actl 2019-2022'!$BJ$46,'OPS Actl 2019-2022'!$BL$46,'OPS Actl 2019-2022'!$BN$46,'OPS Actl 2019-2022'!#REF!</definedName>
    <definedName name="QB_FORMULA_18" localSheetId="9" hidden="1">'OPS Actl 21-22'!$L$50,'OPS Actl 21-22'!$N$50,'OPS Actl 21-22'!$P$50,'OPS Actl 21-22'!$R$50,'OPS Actl 21-22'!$T$50,'OPS Actl 21-22'!$V$50,'OPS Actl 21-22'!$X$50,'OPS Actl 21-22'!$Z$50,'OPS Actl 21-22'!$AB$50,'OPS Actl 21-22'!$AD$50,'OPS Actl 21-22'!$AF$50,'OPS Actl 21-22'!$AH$50,'OPS Actl 21-22'!$AJ$50,'OPS Actl 21-22'!$AL$50,'OPS Actl 21-22'!$AN$50,'OPS Actl 21-22'!$AP$50</definedName>
    <definedName name="QB_FORMULA_19" localSheetId="10" hidden="1">'2020 Budget'!$H$76,'2020 Budget'!$N$76,'2020 Budget'!$P$76,'2020 Budget'!$R$76,'2020 Budget'!$T$76,'2020 Budget'!$V$76,'2020 Budget'!$X$76,'2020 Budget'!$Z$76,'2020 Budget'!$AB$76,'2020 Budget'!$AD$76,'2020 Budget'!$R$77,'2020 Budget'!$X$77,'2020 Budget'!$Z$77,'2020 Budget'!$AB$77,'2020 Budget'!$AD$77,'2020 Budget'!$H$78</definedName>
    <definedName name="QB_FORMULA_19" localSheetId="11" hidden="1">'2021 Budget'!$Z$77,'2021 Budget'!$AB$77,'2021 Budget'!$AD$77,'2021 Budget'!$R$78,'2021 Budget'!$X$78,'2021 Budget'!$Z$78,'2021 Budget'!$AB$78,'2021 Budget'!$AD$78,'2021 Budget'!$X$79,'2021 Budget'!$Z$79,'2021 Budget'!$AB$79,'2021 Budget'!$AD$79,'2021 Budget'!$R$80,'2021 Budget'!$Z$80,'2021 Budget'!$AB$80,'2021 Budget'!$AD$80</definedName>
    <definedName name="QB_FORMULA_19" localSheetId="12" hidden="1">'2022 Forecast Fix'!#REF!,'2022 Forecast Fix'!#REF!,'2022 Forecast Fix'!#REF!,'2022 Forecast Fix'!#REF!,'2022 Forecast Fix'!#REF!,'2022 Forecast Fix'!#REF!,'2022 Forecast Fix'!#REF!,'2022 Forecast Fix'!#REF!,'2022 Forecast Fix'!#REF!,'2022 Forecast Fix'!#REF!,'2022 Forecast Fix'!#REF!,'2022 Forecast Fix'!#REF!,'2022 Forecast Fix'!#REF!,'2022 Forecast Fix'!#REF!,'2022 Forecast Fix'!#REF!,'2022 Forecast Fix'!$H$82</definedName>
    <definedName name="QB_FORMULA_19"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Worksheet'!$H$52,'2022 Forecast Worksheet'!$L$52,'2022 Forecast Worksheet'!$P$52,'2022 Forecast Worksheet'!$T$52,'2022 Forecast Worksheet'!$X$52,'2022 Forecast Worksheet'!$AB$52,'2022 Forecast Worksheet'!#REF!</definedName>
    <definedName name="QB_FORMULA_19" localSheetId="5" hidden="1">'2023 Ops Budget'!$N$53,'2023 Ops Budget'!$T$53,'2023 Ops Budget'!#REF!,'2023 Ops Budget'!#REF!,'2023 Ops Budget'!#REF!,'2023 Ops Budget'!$J$54,'2023 Ops Budget'!$N$54,'2023 Ops Budget'!$T$54,'2023 Ops Budget'!#REF!,'2023 Ops Budget'!#REF!,'2023 Ops Budget'!#REF!,'2023 Ops Budget'!$J$55,'2023 Ops Budget'!$N$55,'2023 Ops Budget'!$T$55,'2023 Ops Budget'!#REF!,'2023 Ops Budget'!#REF!</definedName>
    <definedName name="QB_FORMULA_19" localSheetId="4" hidden="1">'CAP IMPROVE Actl 2019-2022'!$P$41,'CAP IMPROVE Actl 2019-2022'!$R$41,'CAP IMPROVE Actl 2019-2022'!$T$41,'CAP IMPROVE Actl 2019-2022'!$V$41,'CAP IMPROVE Actl 2019-2022'!$X$41,'CAP IMPROVE Actl 2019-2022'!$Z$41,'CAP IMPROVE Actl 2019-2022'!$AB$41,'CAP IMPROVE Actl 2019-2022'!$AD$41,'CAP IMPROVE Actl 2019-2022'!$AF$41,'CAP IMPROVE Actl 2019-2022'!$AH$41,'CAP IMPROVE Actl 2019-2022'!$AJ$41,'CAP IMPROVE Actl 2019-2022'!$AL$41,'CAP IMPROVE Actl 2019-2022'!$AN$41,'CAP IMPROVE Actl 2019-2022'!$AP$41,'CAP IMPROVE Actl 2019-2022'!$AR$41,'CAP IMPROVE Actl 2019-2022'!$AT$41</definedName>
    <definedName name="QB_FORMULA_19" localSheetId="8" hidden="1">'OPS Actl 2019-2022'!#REF!,'OPS Actl 2019-2022'!#REF!,'OPS Actl 2019-2022'!#REF!,'OPS Actl 2019-2022'!$H$51,'OPS Actl 2019-2022'!$J$51,'OPS Actl 2019-2022'!$L$51,'OPS Actl 2019-2022'!$N$51,'OPS Actl 2019-2022'!$P$51,'OPS Actl 2019-2022'!$R$51,'OPS Actl 2019-2022'!$T$51,'OPS Actl 2019-2022'!$V$51,'OPS Actl 2019-2022'!$X$51,'OPS Actl 2019-2022'!$Z$51,'OPS Actl 2019-2022'!$AB$51,'OPS Actl 2019-2022'!$AD$51,'OPS Actl 2019-2022'!$AF$51</definedName>
    <definedName name="QB_FORMULA_19" localSheetId="9" hidden="1">'OPS Actl 21-22'!$AR$50,'OPS Actl 21-22'!$AT$50,'OPS Actl 21-22'!$AV$50,'OPS Actl 21-22'!$AX$50,'OPS Actl 21-22'!$AZ$50,'OPS Actl 21-22'!$BB$50,'OPS Actl 21-22'!$BD$50,'OPS Actl 21-22'!$BF$50,'OPS Actl 21-22'!$BD$51,'OPS Actl 21-22'!$BF$51,'OPS Actl 21-22'!$BD$52,'OPS Actl 21-22'!$BF$52,'OPS Actl 21-22'!$H$53,'OPS Actl 21-22'!$J$53,'OPS Actl 21-22'!$L$53,'OPS Actl 21-22'!$N$53</definedName>
    <definedName name="QB_FORMULA_2" localSheetId="10" hidden="1">'2020 Budget'!$Z$12,'2020 Budget'!$AB$12,'2020 Budget'!$AD$12,'2020 Budget'!$L$14,'2020 Budget'!$X$14,'2020 Budget'!$Z$14,'2020 Budget'!$AB$14,'2020 Budget'!$AD$14,'2020 Budget'!$X$15,'2020 Budget'!$Z$15,'2020 Budget'!$AB$15,'2020 Budget'!$AD$15,'2020 Budget'!$H$16,'2020 Budget'!$J$16,'2020 Budget'!$L$16,'2020 Budget'!$N$16</definedName>
    <definedName name="QB_FORMULA_2" localSheetId="11" hidden="1">'2021 Budget'!$X$13,'2021 Budget'!$Z$13,'2021 Budget'!$AB$13,'2021 Budget'!$AD$13,'2021 Budget'!$X$14,'2021 Budget'!$Z$14,'2021 Budget'!$AB$14,'2021 Budget'!$AD$14,'2021 Budget'!$H$15,'2021 Budget'!$N$15,'2021 Budget'!$T$15,'2021 Budget'!$V$15,'2021 Budget'!$X$15,'2021 Budget'!$Z$15,'2021 Budget'!$AB$15,'2021 Budget'!$AD$15</definedName>
    <definedName name="QB_FORMULA_2" localSheetId="12" hidden="1">'2022 Forecast Fix'!#REF!,'2022 Forecast Fix'!#REF!,'2022 Forecast Fix'!#REF!,'2022 Forecast Fix'!#REF!,'2022 Forecast Fix'!$H$15,'2022 Forecast Fix'!#REF!,'2022 Forecast Fix'!#REF!,'2022 Forecast Fix'!#REF!,'2022 Forecast Fix'!#REF!,'2022 Forecast Fix'!#REF!,'2022 Forecast Fix'!#REF!,'2022 Forecast Fix'!#REF!,'2022 Forecast Fix'!#REF!,'2022 Forecast Fix'!#REF!,'2022 Forecast Fix'!#REF!,'2022 Forecast Fix'!#REF!</definedName>
    <definedName name="QB_FORMULA_2"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Worksheet'!$H$16,'2022 Forecast Worksheet'!$L$16</definedName>
    <definedName name="QB_FORMULA_2" localSheetId="6" hidden="1">'2023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Budget'!#REF!,'2023 Capital DRAFT Budget'!#REF!</definedName>
    <definedName name="QB_FORMULA_2" localSheetId="5" hidden="1">'2023 Ops Budget'!$T$11,'2023 Ops Budget'!#REF!,'2023 Ops Budget'!#REF!,'2023 Ops Budget'!#REF!,'2023 Ops Budget'!$J$12,'2023 Ops Budget'!$N$12,'2023 Ops Budget'!$T$12,'2023 Ops Budget'!#REF!,'2023 Ops Budget'!#REF!,'2023 Ops Budget'!#REF!,'2023 Ops Budget'!$N$14,'2023 Ops Budget'!$T$14,'2023 Ops Budget'!#REF!,'2023 Ops Budget'!#REF!,'2023 Ops Budget'!#REF!,'2023 Ops Budget'!$N$15</definedName>
    <definedName name="QB_FORMULA_2" localSheetId="3" hidden="1">'2024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Budget'!#REF!,'2024 Capital DRAFT Budget'!#REF!</definedName>
    <definedName name="QB_FORMULA_2" localSheetId="4" hidden="1">'CAP IMPROVE Actl 2019-2022'!$BN$8,'CAP IMPROVE Actl 2019-2022'!$BP$8,'CAP IMPROVE Actl 2019-2022'!$BP$10,'CAP IMPROVE Actl 2019-2022'!$BP$11,'CAP IMPROVE Actl 2019-2022'!$H$12,'CAP IMPROVE Actl 2019-2022'!$J$12,'CAP IMPROVE Actl 2019-2022'!$L$12,'CAP IMPROVE Actl 2019-2022'!$N$12,'CAP IMPROVE Actl 2019-2022'!$P$12,'CAP IMPROVE Actl 2019-2022'!$R$12,'CAP IMPROVE Actl 2019-2022'!$T$12,'CAP IMPROVE Actl 2019-2022'!$V$12,'CAP IMPROVE Actl 2019-2022'!$X$12,'CAP IMPROVE Actl 2019-2022'!$Z$12,'CAP IMPROVE Actl 2019-2022'!$AB$12,'CAP IMPROVE Actl 2019-2022'!$AD$12</definedName>
    <definedName name="QB_FORMULA_2" localSheetId="7" hidden="1">'Monthly Act Capital funds 2022'!$P$17,'Monthly Act Capital funds 2022'!$R$17,'Monthly Act Capital funds 2022'!$T$17,'Monthly Act Capital funds 2022'!$V$17,'Monthly Act Capital funds 2022'!$X$17,'Monthly Act Capital funds 2022'!$AF$17,'Monthly Act Capital funds 2022'!$AF$18,'Monthly Act Capital funds 2022'!$AF$19,'Monthly Act Capital funds 2022'!$H$20,'Monthly Act Capital funds 2022'!$J$20,'Monthly Act Capital funds 2022'!$L$20,'Monthly Act Capital funds 2022'!$N$20,'Monthly Act Capital funds 2022'!$P$20,'Monthly Act Capital funds 2022'!$R$20,'Monthly Act Capital funds 2022'!$T$20,'Monthly Act Capital funds 2022'!$V$20</definedName>
    <definedName name="QB_FORMULA_2" localSheetId="8" hidden="1">'OPS Actl 2019-2022'!$BJ$10,'OPS Actl 2019-2022'!$BL$10,'OPS Actl 2019-2022'!$BN$10,'OPS Actl 2019-2022'!#REF!,'OPS Actl 2019-2022'!#REF!,'OPS Actl 2019-2022'!#REF!,'OPS Actl 2019-2022'!#REF!,'OPS Actl 2019-2022'!#REF!,'OPS Actl 2019-2022'!$H$16,'OPS Actl 2019-2022'!$J$16,'OPS Actl 2019-2022'!$L$16,'OPS Actl 2019-2022'!$N$16,'OPS Actl 2019-2022'!$P$16,'OPS Actl 2019-2022'!$R$16,'OPS Actl 2019-2022'!$T$16,'OPS Actl 2019-2022'!$V$16</definedName>
    <definedName name="QB_FORMULA_2" localSheetId="9" hidden="1">'OPS Actl 21-22'!$BD$10,'OPS Actl 21-22'!$BF$10,'OPS Actl 21-22'!$BD$11,'OPS Actl 21-22'!$BF$11,'OPS Actl 21-22'!$BD$13,'OPS Actl 21-22'!$BF$13,'OPS Actl 21-22'!$BD$14,'OPS Actl 21-22'!$BF$14,'OPS Actl 21-22'!$H$15,'OPS Actl 21-22'!$J$15,'OPS Actl 21-22'!$L$15,'OPS Actl 21-22'!$N$15,'OPS Actl 21-22'!$P$15,'OPS Actl 21-22'!$R$15,'OPS Actl 21-22'!$T$15,'OPS Actl 21-22'!$V$15</definedName>
    <definedName name="QB_FORMULA_20" localSheetId="10" hidden="1">'2020 Budget'!$J$78,'2020 Budget'!$L$78,'2020 Budget'!$N$78,'2020 Budget'!$P$78,'2020 Budget'!$R$78,'2020 Budget'!$T$78,'2020 Budget'!$V$78,'2020 Budget'!$X$78,'2020 Budget'!$Z$78,'2020 Budget'!$AB$78,'2020 Budget'!$AD$78,'2020 Budget'!$H$79,'2020 Budget'!$J$79,'2020 Budget'!$L$79,'2020 Budget'!$N$79,'2020 Budget'!$P$79</definedName>
    <definedName name="QB_FORMULA_20" localSheetId="11" hidden="1">'2021 Budget'!$X$81,'2021 Budget'!$Z$81,'2021 Budget'!$AB$81,'2021 Budget'!$AD$81,'2021 Budget'!$H$82,'2021 Budget'!$N$82,'2021 Budget'!$P$82,'2021 Budget'!$R$82,'2021 Budget'!$T$82,'2021 Budget'!$V$82,'2021 Budget'!$X$82,'2021 Budget'!$Z$82,'2021 Budget'!$AB$82,'2021 Budget'!$AD$82,'2021 Budget'!$Z$83,'2021 Budget'!$AB$83</definedName>
    <definedName name="QB_FORMULA_20" localSheetId="12" hidden="1">'2022 Forecast Fix'!$L$82,'2022 Forecast Fix'!$M$82,'2022 Forecast Fix'!#REF!,'2022 Forecast Fix'!#REF!,'2022 Forecast Fix'!#REF!,'2022 Forecast Fix'!#REF!,'2022 Forecast Fix'!#REF!,'2022 Forecast Fix'!#REF!,'2022 Forecast Fix'!#REF!,'2022 Forecast Fix'!#REF!,'2022 Forecast Fix'!#REF!,'2022 Forecast Fix'!$H$83,'2022 Forecast Fix'!$L$83,'2022 Forecast Fix'!$M$83,'2022 Forecast Fix'!#REF!,'2022 Forecast Fix'!#REF!</definedName>
    <definedName name="QB_FORMULA_20" localSheetId="13" hidden="1">'2022 Forecast Worksheet'!#REF!,'2022 Forecast Worksheet'!#REF!,'2022 Forecast Worksheet'!#REF!,'2022 Forecast Worksheet'!#REF!,'2022 Forecast Worksheet'!#REF!,'2022 Forecast Worksheet'!$I$52,'2022 Forecast Worksheet'!$M$52,'2022 Forecast Worksheet'!$Q$52,'2022 Forecast Worksheet'!$U$52,'2022 Forecast Worksheet'!$Y$52,'2022 Forecast Worksheet'!$AC$52,'2022 Forecast Worksheet'!#REF!,'2022 Forecast Worksheet'!#REF!,'2022 Forecast Worksheet'!#REF!,'2022 Forecast Worksheet'!#REF!,'2022 Forecast Worksheet'!#REF!</definedName>
    <definedName name="QB_FORMULA_20" localSheetId="5" hidden="1">'2023 Ops Budget'!#REF!,'2023 Ops Budget'!$J$56,'2023 Ops Budget'!$N$56,'2023 Ops Budget'!$T$56,'2023 Ops Budget'!#REF!,'2023 Ops Budget'!#REF!,'2023 Ops Budget'!#REF!,'2023 Ops Budget'!$H$57,'2023 Ops Budget'!$I$57,'2023 Ops Budget'!$J$57,'2023 Ops Budget'!$L$57,'2023 Ops Budget'!$M$57,'2023 Ops Budget'!$N$57,'2023 Ops Budget'!$P$57,'2023 Ops Budget'!$S$57,'2023 Ops Budget'!$T$57</definedName>
    <definedName name="QB_FORMULA_20" localSheetId="4" hidden="1">'CAP IMPROVE Actl 2019-2022'!$AV$41,'CAP IMPROVE Actl 2019-2022'!$AX$41,'CAP IMPROVE Actl 2019-2022'!$AZ$41,'CAP IMPROVE Actl 2019-2022'!$BB$41,'CAP IMPROVE Actl 2019-2022'!$BD$41,'CAP IMPROVE Actl 2019-2022'!$BF$41,'CAP IMPROVE Actl 2019-2022'!$BH$41,'CAP IMPROVE Actl 2019-2022'!$BJ$41,'CAP IMPROVE Actl 2019-2022'!$BL$41,'CAP IMPROVE Actl 2019-2022'!$BN$41,'CAP IMPROVE Actl 2019-2022'!$BP$41,'CAP IMPROVE Actl 2019-2022'!$H$42,'CAP IMPROVE Actl 2019-2022'!$J$42,'CAP IMPROVE Actl 2019-2022'!$L$42,'CAP IMPROVE Actl 2019-2022'!$N$42,'CAP IMPROVE Actl 2019-2022'!$P$42</definedName>
    <definedName name="QB_FORMULA_20" localSheetId="8" hidden="1">'OPS Actl 2019-2022'!$AH$51,'OPS Actl 2019-2022'!$AJ$51,'OPS Actl 2019-2022'!$AL$51,'OPS Actl 2019-2022'!$AN$51,'OPS Actl 2019-2022'!$AP$51,'OPS Actl 2019-2022'!$AR$51,'OPS Actl 2019-2022'!$AT$51,'OPS Actl 2019-2022'!$AV$51,'OPS Actl 2019-2022'!$AX$51,'OPS Actl 2019-2022'!$AZ$51,'OPS Actl 2019-2022'!$BB$51,'OPS Actl 2019-2022'!$BD$51,'OPS Actl 2019-2022'!$BF$51,'OPS Actl 2019-2022'!$BH$51,'OPS Actl 2019-2022'!$BJ$51,'OPS Actl 2019-2022'!$BL$51</definedName>
    <definedName name="QB_FORMULA_20" localSheetId="9" hidden="1">'OPS Actl 21-22'!$P$53,'OPS Actl 21-22'!$R$53,'OPS Actl 21-22'!$T$53,'OPS Actl 21-22'!$V$53,'OPS Actl 21-22'!$X$53,'OPS Actl 21-22'!$Z$53,'OPS Actl 21-22'!$AB$53,'OPS Actl 21-22'!$AD$53,'OPS Actl 21-22'!$AF$53,'OPS Actl 21-22'!$AH$53,'OPS Actl 21-22'!$AJ$53,'OPS Actl 21-22'!$AL$53,'OPS Actl 21-22'!$AN$53,'OPS Actl 21-22'!$AP$53,'OPS Actl 21-22'!$AR$53,'OPS Actl 21-22'!$AT$53</definedName>
    <definedName name="QB_FORMULA_21" localSheetId="10" hidden="1">'2020 Budget'!$R$79,'2020 Budget'!$T$79,'2020 Budget'!$V$79,'2020 Budget'!$X$79,'2020 Budget'!$Z$79,'2020 Budget'!$AB$79,'2020 Budget'!$AD$79,'2020 Budget'!$L$80,'2020 Budget'!$R$80,'2020 Budget'!$Z$80,'2020 Budget'!$AB$80,'2020 Budget'!$AD$80,'2020 Budget'!$H$81,'2020 Budget'!$J$81,'2020 Budget'!$L$81,'2020 Budget'!$N$81</definedName>
    <definedName name="QB_FORMULA_21" localSheetId="11" hidden="1">'2021 Budget'!$AD$83,'2021 Budget'!$R$84,'2021 Budget'!$X$84,'2021 Budget'!$Z$84,'2021 Budget'!$AB$84,'2021 Budget'!$AD$84,'2021 Budget'!$H$85,'2021 Budget'!$J$85,'2021 Budget'!$L$85,'2021 Budget'!$N$85,'2021 Budget'!$P$85,'2021 Budget'!$R$85,'2021 Budget'!$T$85,'2021 Budget'!$V$85,'2021 Budget'!$X$85,'2021 Budget'!$Z$85</definedName>
    <definedName name="QB_FORMULA_21" localSheetId="12" hidden="1">'2022 Forecast Fix'!#REF!,'2022 Forecast Fix'!#REF!,'2022 Forecast Fix'!#REF!,'2022 Forecast Fix'!#REF!,'2022 Forecast Fix'!#REF!,'2022 Forecast Fix'!#REF!,'2022 Forecast Fix'!#REF!,'2022 Forecast Fix'!$M$84,'2022 Forecast Fix'!#REF!,'2022 Forecast Fix'!#REF!,'2022 Forecast Fix'!#REF!,'2022 Forecast Fix'!#REF!,'2022 Forecast Fix'!$H$85,'2022 Forecast Fix'!$L$85,'2022 Forecast Fix'!$M$85,'2022 Forecast Fix'!#REF!</definedName>
    <definedName name="QB_FORMULA_21"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Worksheet'!$H$55,'2022 Forecast Worksheet'!$L$55,'2022 Forecast Worksheet'!$P$55,'2022 Forecast Worksheet'!$T$55,'2022 Forecast Worksheet'!$X$55,'2022 Forecast Worksheet'!$AB$55</definedName>
    <definedName name="QB_FORMULA_21" localSheetId="5" hidden="1">'2023 Ops Budget'!#REF!,'2023 Ops Budget'!#REF!,'2023 Ops Budget'!#REF!,'2023 Ops Budget'!$H$58,'2023 Ops Budget'!$I$58,'2023 Ops Budget'!$J$58,'2023 Ops Budget'!$L$58,'2023 Ops Budget'!$M$58,'2023 Ops Budget'!$N$58,'2023 Ops Budget'!$P$58,'2023 Ops Budget'!$S$58,'2023 Ops Budget'!$T$58,'2023 Ops Budget'!#REF!,'2023 Ops Budget'!#REF!,'2023 Ops Budget'!#REF!,'2023 Ops Budget'!$H$59</definedName>
    <definedName name="QB_FORMULA_21" localSheetId="4" hidden="1">'CAP IMPROVE Actl 2019-2022'!$R$42,'CAP IMPROVE Actl 2019-2022'!$T$42,'CAP IMPROVE Actl 2019-2022'!$V$42,'CAP IMPROVE Actl 2019-2022'!$X$42,'CAP IMPROVE Actl 2019-2022'!$Z$42,'CAP IMPROVE Actl 2019-2022'!$AB$42,'CAP IMPROVE Actl 2019-2022'!$AD$42,'CAP IMPROVE Actl 2019-2022'!$AF$42,'CAP IMPROVE Actl 2019-2022'!$AH$42,'CAP IMPROVE Actl 2019-2022'!$AJ$42,'CAP IMPROVE Actl 2019-2022'!$AL$42,'CAP IMPROVE Actl 2019-2022'!$AN$42,'CAP IMPROVE Actl 2019-2022'!$AP$42,'CAP IMPROVE Actl 2019-2022'!$AR$42,'CAP IMPROVE Actl 2019-2022'!$AT$42,'CAP IMPROVE Actl 2019-2022'!$AV$42</definedName>
    <definedName name="QB_FORMULA_21" localSheetId="8" hidden="1">'OPS Actl 2019-2022'!$BN$51,'OPS Actl 2019-2022'!#REF!,'OPS Actl 2019-2022'!#REF!,'OPS Actl 2019-2022'!#REF!,'OPS Actl 2019-2022'!$H$54,'OPS Actl 2019-2022'!$J$54,'OPS Actl 2019-2022'!$L$54,'OPS Actl 2019-2022'!$N$54,'OPS Actl 2019-2022'!$P$54,'OPS Actl 2019-2022'!$R$54,'OPS Actl 2019-2022'!$T$54,'OPS Actl 2019-2022'!$V$54,'OPS Actl 2019-2022'!$X$54,'OPS Actl 2019-2022'!$Z$54,'OPS Actl 2019-2022'!$AB$54,'OPS Actl 2019-2022'!$AD$54</definedName>
    <definedName name="QB_FORMULA_21" localSheetId="9" hidden="1">'OPS Actl 21-22'!$AV$53,'OPS Actl 21-22'!$AX$53,'OPS Actl 21-22'!$AZ$53,'OPS Actl 21-22'!$BB$53,'OPS Actl 21-22'!$BD$53,'OPS Actl 21-22'!$BF$53,'OPS Actl 21-22'!$BD$55,'OPS Actl 21-22'!$BF$55,'OPS Actl 21-22'!$BD$56,'OPS Actl 21-22'!$BF$56,'OPS Actl 21-22'!$BD$57,'OPS Actl 21-22'!$BF$57,'OPS Actl 21-22'!$H$58,'OPS Actl 21-22'!$J$58,'OPS Actl 21-22'!$L$58,'OPS Actl 21-22'!$N$58</definedName>
    <definedName name="QB_FORMULA_22" localSheetId="10" hidden="1">'2020 Budget'!$P$81,'2020 Budget'!$R$81,'2020 Budget'!$T$81,'2020 Budget'!$V$81,'2020 Budget'!$X$81,'2020 Budget'!$Z$81,'2020 Budget'!$AB$81,'2020 Budget'!$AD$81</definedName>
    <definedName name="QB_FORMULA_22" localSheetId="11" hidden="1">'2021 Budget'!$AB$85,'2021 Budget'!$AD$85,'2021 Budget'!$H$86,'2021 Budget'!$J$86,'2021 Budget'!$L$86,'2021 Budget'!$N$86,'2021 Budget'!$P$86,'2021 Budget'!$R$86,'2021 Budget'!$T$86,'2021 Budget'!$V$86,'2021 Budget'!$X$86,'2021 Budget'!$Z$86,'2021 Budget'!$AB$86,'2021 Budget'!$AD$86,'2021 Budget'!$L$87,'2021 Budget'!$R$87</definedName>
    <definedName name="QB_FORMULA_22" localSheetId="12" hidden="1">'2022 Forecast Fix'!#REF!,'2022 Forecast Fix'!#REF!,'2022 Forecast Fix'!#REF!,'2022 Forecast Fix'!#REF!,'2022 Forecast Fix'!#REF!,'2022 Forecast Fix'!#REF!,'2022 Forecast Fix'!#REF!,'2022 Forecast Fix'!#REF!</definedName>
    <definedName name="QB_FORMULA_22" localSheetId="13" hidden="1">'2022 Forecast Worksheet'!#REF!,'2022 Forecast Worksheet'!#REF!,'2022 Forecast Worksheet'!#REF!,'2022 Forecast Worksheet'!#REF!,'2022 Forecast Worksheet'!#REF!,'2022 Forecast Worksheet'!#REF!,'2022 Forecast Worksheet'!$I$55,'2022 Forecast Worksheet'!$M$55,'2022 Forecast Worksheet'!$Q$55,'2022 Forecast Worksheet'!$U$55,'2022 Forecast Worksheet'!$Y$55,'2022 Forecast Worksheet'!$AC$55,'2022 Forecast Worksheet'!#REF!,'2022 Forecast Worksheet'!#REF!,'2022 Forecast Worksheet'!#REF!,'2022 Forecast Worksheet'!#REF!</definedName>
    <definedName name="QB_FORMULA_22" localSheetId="5" hidden="1">'2023 Ops Budget'!$I$59,'2023 Ops Budget'!$J$59,'2023 Ops Budget'!$L$59,'2023 Ops Budget'!$M$59,'2023 Ops Budget'!$N$59,'2023 Ops Budget'!$P$59,'2023 Ops Budget'!$S$59,'2023 Ops Budget'!$T$59,'2023 Ops Budget'!#REF!,'2023 Ops Budget'!#REF!,'2023 Ops Budget'!#REF!,'2023 Ops Budget'!$J$60,'2023 Ops Budget'!$N$60,'2023 Ops Budget'!$T$60,'2023 Ops Budget'!#REF!,'2023 Ops Budget'!#REF!</definedName>
    <definedName name="QB_FORMULA_22" localSheetId="4" hidden="1">'CAP IMPROVE Actl 2019-2022'!$AX$42,'CAP IMPROVE Actl 2019-2022'!$AZ$42,'CAP IMPROVE Actl 2019-2022'!$BB$42,'CAP IMPROVE Actl 2019-2022'!$BD$42,'CAP IMPROVE Actl 2019-2022'!$BF$42,'CAP IMPROVE Actl 2019-2022'!$BH$42,'CAP IMPROVE Actl 2019-2022'!$BJ$42,'CAP IMPROVE Actl 2019-2022'!$BL$42,'CAP IMPROVE Actl 2019-2022'!$BN$42,'CAP IMPROVE Actl 2019-2022'!$BP$42</definedName>
    <definedName name="QB_FORMULA_22" localSheetId="8" hidden="1">'OPS Actl 2019-2022'!$AF$54,'OPS Actl 2019-2022'!$AH$54,'OPS Actl 2019-2022'!$AJ$54,'OPS Actl 2019-2022'!$AL$54,'OPS Actl 2019-2022'!$AN$54,'OPS Actl 2019-2022'!$AP$54,'OPS Actl 2019-2022'!$AR$54,'OPS Actl 2019-2022'!$AT$54,'OPS Actl 2019-2022'!$AV$54,'OPS Actl 2019-2022'!$AX$54,'OPS Actl 2019-2022'!$AZ$54,'OPS Actl 2019-2022'!$BB$54,'OPS Actl 2019-2022'!$BD$54,'OPS Actl 2019-2022'!$BF$54,'OPS Actl 2019-2022'!$BH$54,'OPS Actl 2019-2022'!$BJ$54</definedName>
    <definedName name="QB_FORMULA_22" localSheetId="9" hidden="1">'OPS Actl 21-22'!$P$58,'OPS Actl 21-22'!$R$58,'OPS Actl 21-22'!$T$58,'OPS Actl 21-22'!$V$58,'OPS Actl 21-22'!$X$58,'OPS Actl 21-22'!$Z$58,'OPS Actl 21-22'!$AB$58,'OPS Actl 21-22'!$AD$58,'OPS Actl 21-22'!$AF$58,'OPS Actl 21-22'!$AH$58,'OPS Actl 21-22'!$AJ$58,'OPS Actl 21-22'!$AL$58,'OPS Actl 21-22'!$AN$58,'OPS Actl 21-22'!$AP$58,'OPS Actl 21-22'!$AR$58,'OPS Actl 21-22'!$AT$58</definedName>
    <definedName name="QB_FORMULA_23" localSheetId="11" hidden="1">'2021 Budget'!$Z$87,'2021 Budget'!$AB$87,'2021 Budget'!$AD$87,'2021 Budget'!$H$88,'2021 Budget'!$J$88,'2021 Budget'!$L$88,'2021 Budget'!$N$88,'2021 Budget'!$P$88,'2021 Budget'!$R$88,'2021 Budget'!$T$88,'2021 Budget'!$V$88,'2021 Budget'!$X$88,'2021 Budget'!$Z$88,'2021 Budget'!$AB$88,'2021 Budget'!$AD$88</definedName>
    <definedName name="QB_FORMULA_23"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Worksheet'!$H$60,'2022 Forecast Worksheet'!$L$60,'2022 Forecast Worksheet'!$P$60,'2022 Forecast Worksheet'!$T$60</definedName>
    <definedName name="QB_FORMULA_23" localSheetId="5" hidden="1">'2023 Ops Budget'!#REF!,'2023 Ops Budget'!$H$61,'2023 Ops Budget'!$I$61,'2023 Ops Budget'!$J$61,'2023 Ops Budget'!$L$61,'2023 Ops Budget'!$M$61,'2023 Ops Budget'!$N$61,'2023 Ops Budget'!$P$61,'2023 Ops Budget'!$S$61,'2023 Ops Budget'!$T$61,'2023 Ops Budget'!#REF!,'2023 Ops Budget'!#REF!,'2023 Ops Budget'!#REF!</definedName>
    <definedName name="QB_FORMULA_23" localSheetId="8" hidden="1">'OPS Actl 2019-2022'!$BL$54,'OPS Actl 2019-2022'!$BN$54,'OPS Actl 2019-2022'!#REF!,'OPS Actl 2019-2022'!#REF!,'OPS Actl 2019-2022'!#REF!,'OPS Actl 2019-2022'!#REF!,'OPS Actl 2019-2022'!$H$59,'OPS Actl 2019-2022'!$J$59,'OPS Actl 2019-2022'!$L$59,'OPS Actl 2019-2022'!$N$59,'OPS Actl 2019-2022'!$P$59,'OPS Actl 2019-2022'!$R$59,'OPS Actl 2019-2022'!$T$59,'OPS Actl 2019-2022'!$V$59,'OPS Actl 2019-2022'!$X$59,'OPS Actl 2019-2022'!$Z$59</definedName>
    <definedName name="QB_FORMULA_23" localSheetId="9" hidden="1">'OPS Actl 21-22'!$AV$58,'OPS Actl 21-22'!$AX$58,'OPS Actl 21-22'!$AZ$58,'OPS Actl 21-22'!$BB$58,'OPS Actl 21-22'!$BD$58,'OPS Actl 21-22'!$BF$58,'OPS Actl 21-22'!$H$59,'OPS Actl 21-22'!$J$59,'OPS Actl 21-22'!$L$59,'OPS Actl 21-22'!$N$59,'OPS Actl 21-22'!$P$59,'OPS Actl 21-22'!$R$59,'OPS Actl 21-22'!$T$59,'OPS Actl 21-22'!$V$59,'OPS Actl 21-22'!$X$59,'OPS Actl 21-22'!$Z$59</definedName>
    <definedName name="QB_FORMULA_24" localSheetId="13" hidden="1">'2022 Forecast Worksheet'!$X$60,'2022 Forecast Worksheet'!$AB$60,'2022 Forecast Worksheet'!#REF!,'2022 Forecast Worksheet'!#REF!,'2022 Forecast Worksheet'!#REF!,'2022 Forecast Worksheet'!#REF!,'2022 Forecast Worksheet'!#REF!,'2022 Forecast Worksheet'!#REF!,'2022 Forecast Worksheet'!$I$60,'2022 Forecast Worksheet'!$M$60,'2022 Forecast Worksheet'!$Q$60,'2022 Forecast Worksheet'!$U$60,'2022 Forecast Worksheet'!$Y$60,'2022 Forecast Worksheet'!$AC$60,'2022 Forecast Worksheet'!#REF!,'2022 Forecast Worksheet'!#REF!</definedName>
    <definedName name="QB_FORMULA_24" localSheetId="8" hidden="1">'OPS Actl 2019-2022'!$AB$59,'OPS Actl 2019-2022'!$AD$59,'OPS Actl 2019-2022'!$AF$59,'OPS Actl 2019-2022'!$AH$59,'OPS Actl 2019-2022'!$AJ$59,'OPS Actl 2019-2022'!$AL$59,'OPS Actl 2019-2022'!$AN$59,'OPS Actl 2019-2022'!$AP$59,'OPS Actl 2019-2022'!$AR$59,'OPS Actl 2019-2022'!$AT$59,'OPS Actl 2019-2022'!$AV$59,'OPS Actl 2019-2022'!$AX$59,'OPS Actl 2019-2022'!$AZ$59,'OPS Actl 2019-2022'!$BB$59,'OPS Actl 2019-2022'!$BD$59,'OPS Actl 2019-2022'!$BF$59</definedName>
    <definedName name="QB_FORMULA_24" localSheetId="9" hidden="1">'OPS Actl 21-22'!$AB$59,'OPS Actl 21-22'!$AD$59,'OPS Actl 21-22'!$AF$59,'OPS Actl 21-22'!$AH$59,'OPS Actl 21-22'!$AJ$59,'OPS Actl 21-22'!$AL$59,'OPS Actl 21-22'!$AN$59,'OPS Actl 21-22'!$AP$59,'OPS Actl 21-22'!$AR$59,'OPS Actl 21-22'!$AT$59,'OPS Actl 21-22'!$AV$59,'OPS Actl 21-22'!$AX$59,'OPS Actl 21-22'!$AZ$59,'OPS Actl 21-22'!$BB$59,'OPS Actl 21-22'!$BD$59,'OPS Actl 21-22'!$BF$59</definedName>
    <definedName name="QB_FORMULA_25"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Worksheet'!$H$61,'2022 Forecast Worksheet'!$L$61,'2022 Forecast Worksheet'!$P$61,'2022 Forecast Worksheet'!$T$61,'2022 Forecast Worksheet'!$X$61</definedName>
    <definedName name="QB_FORMULA_25" localSheetId="8" hidden="1">'OPS Actl 2019-2022'!$BH$59,'OPS Actl 2019-2022'!$BJ$59,'OPS Actl 2019-2022'!$BL$59,'OPS Actl 2019-2022'!$BN$59,'OPS Actl 2019-2022'!#REF!,'OPS Actl 2019-2022'!$H$60,'OPS Actl 2019-2022'!$J$60,'OPS Actl 2019-2022'!$L$60,'OPS Actl 2019-2022'!$N$60,'OPS Actl 2019-2022'!$P$60,'OPS Actl 2019-2022'!$R$60,'OPS Actl 2019-2022'!$T$60,'OPS Actl 2019-2022'!$V$60,'OPS Actl 2019-2022'!$X$60,'OPS Actl 2019-2022'!$Z$60,'OPS Actl 2019-2022'!$AB$60</definedName>
    <definedName name="QB_FORMULA_25" localSheetId="9" hidden="1">'OPS Actl 21-22'!$H$60,'OPS Actl 21-22'!$J$60,'OPS Actl 21-22'!$L$60,'OPS Actl 21-22'!$N$60,'OPS Actl 21-22'!$P$60,'OPS Actl 21-22'!$R$60,'OPS Actl 21-22'!$T$60,'OPS Actl 21-22'!$V$60,'OPS Actl 21-22'!$X$60,'OPS Actl 21-22'!$Z$60,'OPS Actl 21-22'!$AB$60,'OPS Actl 21-22'!$AD$60,'OPS Actl 21-22'!$AF$60,'OPS Actl 21-22'!$AH$60,'OPS Actl 21-22'!$AJ$60,'OPS Actl 21-22'!$AL$60</definedName>
    <definedName name="QB_FORMULA_26" localSheetId="13" hidden="1">'2022 Forecast Worksheet'!$AB$61,'2022 Forecast Worksheet'!#REF!,'2022 Forecast Worksheet'!#REF!,'2022 Forecast Worksheet'!#REF!,'2022 Forecast Worksheet'!#REF!,'2022 Forecast Worksheet'!#REF!,'2022 Forecast Worksheet'!#REF!,'2022 Forecast Worksheet'!$I$61,'2022 Forecast Worksheet'!$M$61,'2022 Forecast Worksheet'!$Q$61,'2022 Forecast Worksheet'!$U$61,'2022 Forecast Worksheet'!$Y$61,'2022 Forecast Worksheet'!$AC$61,'2022 Forecast Worksheet'!#REF!,'2022 Forecast Worksheet'!#REF!,'2022 Forecast Worksheet'!#REF!</definedName>
    <definedName name="QB_FORMULA_26" localSheetId="8" hidden="1">'OPS Actl 2019-2022'!$AD$60,'OPS Actl 2019-2022'!$AF$60,'OPS Actl 2019-2022'!$AH$60,'OPS Actl 2019-2022'!$AJ$60,'OPS Actl 2019-2022'!$AL$60,'OPS Actl 2019-2022'!$AN$60,'OPS Actl 2019-2022'!$AP$60,'OPS Actl 2019-2022'!$AR$60,'OPS Actl 2019-2022'!$AT$60,'OPS Actl 2019-2022'!$AV$60,'OPS Actl 2019-2022'!$AX$60,'OPS Actl 2019-2022'!$AZ$60,'OPS Actl 2019-2022'!$BB$60,'OPS Actl 2019-2022'!$BD$60,'OPS Actl 2019-2022'!$BF$60,'OPS Actl 2019-2022'!$BH$60</definedName>
    <definedName name="QB_FORMULA_26" localSheetId="9" hidden="1">'OPS Actl 21-22'!$AN$60,'OPS Actl 21-22'!$AP$60,'OPS Actl 21-22'!$AR$60,'OPS Actl 21-22'!$AT$60,'OPS Actl 21-22'!$AV$60,'OPS Actl 21-22'!$AX$60,'OPS Actl 21-22'!$AZ$60,'OPS Actl 21-22'!$BB$60,'OPS Actl 21-22'!$BD$60,'OPS Actl 21-22'!$BF$60,'OPS Actl 21-22'!$BD$61,'OPS Actl 21-22'!$BF$61,'OPS Actl 21-22'!$H$62,'OPS Actl 21-22'!$J$62,'OPS Actl 21-22'!$L$62,'OPS Actl 21-22'!$N$62</definedName>
    <definedName name="QB_FORMULA_27"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Worksheet'!$H$62,'2022 Forecast Worksheet'!$L$62,'2022 Forecast Worksheet'!$P$62,'2022 Forecast Worksheet'!$T$62,'2022 Forecast Worksheet'!$X$62,'2022 Forecast Worksheet'!$AB$62</definedName>
    <definedName name="QB_FORMULA_27" localSheetId="8" hidden="1">'OPS Actl 2019-2022'!$BJ$60,'OPS Actl 2019-2022'!$BL$60,'OPS Actl 2019-2022'!$BN$60,'OPS Actl 2019-2022'!#REF!,'OPS Actl 2019-2022'!$H$61,'OPS Actl 2019-2022'!$J$61,'OPS Actl 2019-2022'!$L$61,'OPS Actl 2019-2022'!$N$61,'OPS Actl 2019-2022'!$P$61,'OPS Actl 2019-2022'!$R$61,'OPS Actl 2019-2022'!$T$61,'OPS Actl 2019-2022'!$V$61,'OPS Actl 2019-2022'!$X$61,'OPS Actl 2019-2022'!$Z$61,'OPS Actl 2019-2022'!$AB$61,'OPS Actl 2019-2022'!$AD$61</definedName>
    <definedName name="QB_FORMULA_27" localSheetId="9" hidden="1">'OPS Actl 21-22'!$P$62,'OPS Actl 21-22'!$R$62,'OPS Actl 21-22'!$T$62,'OPS Actl 21-22'!$V$62,'OPS Actl 21-22'!$X$62,'OPS Actl 21-22'!$Z$62,'OPS Actl 21-22'!$AB$62,'OPS Actl 21-22'!$AD$62,'OPS Actl 21-22'!$AF$62,'OPS Actl 21-22'!$AH$62,'OPS Actl 21-22'!$AJ$62,'OPS Actl 21-22'!$AL$62,'OPS Actl 21-22'!$AN$62,'OPS Actl 21-22'!$AP$62,'OPS Actl 21-22'!$AR$62,'OPS Actl 21-22'!$AT$62</definedName>
    <definedName name="QB_FORMULA_28" localSheetId="13" hidden="1">'2022 Forecast Worksheet'!#REF!,'2022 Forecast Worksheet'!#REF!,'2022 Forecast Worksheet'!#REF!,'2022 Forecast Worksheet'!#REF!,'2022 Forecast Worksheet'!#REF!,'2022 Forecast Worksheet'!#REF!,'2022 Forecast Worksheet'!$I$62,'2022 Forecast Worksheet'!$M$62,'2022 Forecast Worksheet'!$Q$62,'2022 Forecast Worksheet'!$U$62,'2022 Forecast Worksheet'!$Y$62,'2022 Forecast Worksheet'!$AC$62,'2022 Forecast Worksheet'!#REF!,'2022 Forecast Worksheet'!#REF!,'2022 Forecast Worksheet'!#REF!,'2022 Forecast Worksheet'!#REF!</definedName>
    <definedName name="QB_FORMULA_28" localSheetId="8" hidden="1">'OPS Actl 2019-2022'!$AF$61,'OPS Actl 2019-2022'!$AH$61,'OPS Actl 2019-2022'!$AJ$61,'OPS Actl 2019-2022'!$AL$61,'OPS Actl 2019-2022'!$AN$61,'OPS Actl 2019-2022'!$AP$61,'OPS Actl 2019-2022'!$AR$61,'OPS Actl 2019-2022'!$AT$61,'OPS Actl 2019-2022'!$AV$61,'OPS Actl 2019-2022'!$AX$61,'OPS Actl 2019-2022'!$AZ$61,'OPS Actl 2019-2022'!$BB$61,'OPS Actl 2019-2022'!$BD$61,'OPS Actl 2019-2022'!$BF$61,'OPS Actl 2019-2022'!$BH$61,'OPS Actl 2019-2022'!$BJ$61</definedName>
    <definedName name="QB_FORMULA_28" localSheetId="9" hidden="1">'OPS Actl 21-22'!$AV$62,'OPS Actl 21-22'!$AX$62,'OPS Actl 21-22'!$AZ$62,'OPS Actl 21-22'!$BB$62,'OPS Actl 21-22'!$BD$62,'OPS Actl 21-22'!$BF$62</definedName>
    <definedName name="QB_FORMULA_29"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Worksheet'!$H$64,'2022 Forecast Worksheet'!$L$64,'2022 Forecast Worksheet'!$P$64,'2022 Forecast Worksheet'!$T$64,'2022 Forecast Worksheet'!$X$64,'2022 Forecast Worksheet'!$AB$64</definedName>
    <definedName name="QB_FORMULA_29" localSheetId="8" hidden="1">'OPS Actl 2019-2022'!$BL$61,'OPS Actl 2019-2022'!$BN$61,'OPS Actl 2019-2022'!#REF!,'OPS Actl 2019-2022'!#REF!,'OPS Actl 2019-2022'!$H$63,'OPS Actl 2019-2022'!$J$63,'OPS Actl 2019-2022'!$L$63,'OPS Actl 2019-2022'!$N$63,'OPS Actl 2019-2022'!$P$63,'OPS Actl 2019-2022'!$R$63,'OPS Actl 2019-2022'!$T$63,'OPS Actl 2019-2022'!$V$63,'OPS Actl 2019-2022'!$X$63,'OPS Actl 2019-2022'!$Z$63,'OPS Actl 2019-2022'!$AB$63,'OPS Actl 2019-2022'!$AD$63</definedName>
    <definedName name="QB_FORMULA_3" localSheetId="10" hidden="1">'2020 Budget'!$T$16,'2020 Budget'!$V$16,'2020 Budget'!$X$16,'2020 Budget'!$Z$16,'2020 Budget'!$AB$16,'2020 Budget'!$AD$16,'2020 Budget'!$L$17,'2020 Budget'!$Z$17,'2020 Budget'!$AB$17,'2020 Budget'!$AD$17,'2020 Budget'!$Z$19,'2020 Budget'!$AB$19,'2020 Budget'!$AD$19,'2020 Budget'!$L$20,'2020 Budget'!$X$20,'2020 Budget'!$Z$20</definedName>
    <definedName name="QB_FORMULA_3" localSheetId="11" hidden="1">'2021 Budget'!$Z$17,'2021 Budget'!$AB$17,'2021 Budget'!$AD$17,'2021 Budget'!$Z$18,'2021 Budget'!$AB$18,'2021 Budget'!$AD$18,'2021 Budget'!$L$19,'2021 Budget'!$Z$19,'2021 Budget'!$AB$19,'2021 Budget'!$AD$19,'2021 Budget'!$H$20,'2021 Budget'!$J$20,'2021 Budget'!$L$20,'2021 Budget'!$N$20,'2021 Budget'!$T$20,'2021 Budget'!$Z$20</definedName>
    <definedName name="QB_FORMULA_3" localSheetId="12" hidden="1">'2022 Forecast Fix'!#REF!,'2022 Forecast Fix'!#REF!,'2022 Forecast Fix'!$M$19,'2022 Forecast Fix'!#REF!,'2022 Forecast Fix'!#REF!,'2022 Forecast Fix'!#REF!,'2022 Forecast Fix'!$H$20,'2022 Forecast Fix'!$L$20,'2022 Forecast Fix'!$M$20,'2022 Forecast Fix'!#REF!,'2022 Forecast Fix'!#REF!,'2022 Forecast Fix'!#REF!,'2022 Forecast Fix'!#REF!,'2022 Forecast Fix'!#REF!,'2022 Forecast Fix'!$M$21,'2022 Forecast Fix'!#REF!</definedName>
    <definedName name="QB_FORMULA_3" localSheetId="13" hidden="1">'2022 Forecast Worksheet'!$P$16,'2022 Forecast Worksheet'!$T$16,'2022 Forecast Worksheet'!$X$16,'2022 Forecast Worksheet'!$AB$16,'2022 Forecast Worksheet'!#REF!,'2022 Forecast Worksheet'!#REF!,'2022 Forecast Worksheet'!#REF!,'2022 Forecast Worksheet'!#REF!,'2022 Forecast Worksheet'!#REF!,'2022 Forecast Worksheet'!#REF!,'2022 Forecast Worksheet'!$I$16,'2022 Forecast Worksheet'!$M$16,'2022 Forecast Worksheet'!$Q$16,'2022 Forecast Worksheet'!$U$16,'2022 Forecast Worksheet'!$Y$16,'2022 Forecast Worksheet'!$AC$16</definedName>
    <definedName name="QB_FORMULA_3" localSheetId="6" hidden="1">'2023 Capital DRAFT Budget'!$K$61,'2023 Capital DRAFT Budget'!$P$61,'2023 Capital DRAFT Budget'!#REF!,'2023 Capital DRAFT Budget'!#REF!,'2023 Capital DRAFT Budget'!#REF!,'2023 Capital DRAFT Budget'!#REF!,'2023 Capital DRAFT Budget'!#REF!,'2023 Capital DRAFT Budget'!$K$66,'2023 Capital DRAFT Budget'!$P$66,'2023 Capital DRAFT Budget'!#REF!,'2023 Capital DRAFT Budget'!#REF!,'2023 Capital DRAFT Budget'!#REF!,'2023 Capital DRAFT Budget'!#REF!,'2023 Capital DRAFT Budget'!$K$22,'2023 Capital DRAFT Budget'!$P$22,'2023 Capital DRAFT Budget'!#REF!</definedName>
    <definedName name="QB_FORMULA_3" localSheetId="5" hidden="1">'2023 Ops Budget'!$T$15,'2023 Ops Budget'!#REF!,'2023 Ops Budget'!#REF!,'2023 Ops Budget'!#REF!,'2023 Ops Budget'!#REF!,'2023 Ops Budget'!#REF!,'2023 Ops Budget'!#REF!,'2023 Ops Budget'!#REF!,'2023 Ops Budget'!#REF!,'2023 Ops Budget'!#REF!,'2023 Ops Budget'!#REF!,'2023 Ops Budget'!#REF!,'2023 Ops Budget'!#REF!,'2023 Ops Budget'!#REF!,'2023 Ops Budget'!#REF!,'2023 Ops Budget'!#REF!</definedName>
    <definedName name="QB_FORMULA_3" localSheetId="3" hidden="1">'2024 Capital DRAFT Budget'!$K$67,'2024 Capital DRAFT Budget'!$Q$67,'2024 Capital DRAFT Budget'!#REF!,'2024 Capital DRAFT Budget'!#REF!,'2024 Capital DRAFT Budget'!#REF!,'2024 Capital DRAFT Budget'!#REF!,'2024 Capital DRAFT Budget'!#REF!,'2024 Capital DRAFT Budget'!$K$72,'2024 Capital DRAFT Budget'!$Q$72,'2024 Capital DRAFT Budget'!#REF!,'2024 Capital DRAFT Budget'!#REF!,'2024 Capital DRAFT Budget'!#REF!,'2024 Capital DRAFT Budget'!#REF!,'2024 Capital DRAFT Budget'!$K$22,'2024 Capital DRAFT Budget'!$Q$22,'2024 Capital DRAFT Budget'!#REF!</definedName>
    <definedName name="QB_FORMULA_3" localSheetId="4" hidden="1">'CAP IMPROVE Actl 2019-2022'!$AF$12,'CAP IMPROVE Actl 2019-2022'!$AH$12,'CAP IMPROVE Actl 2019-2022'!$AJ$12,'CAP IMPROVE Actl 2019-2022'!$AL$12,'CAP IMPROVE Actl 2019-2022'!$AN$12,'CAP IMPROVE Actl 2019-2022'!$AP$12,'CAP IMPROVE Actl 2019-2022'!$AR$12,'CAP IMPROVE Actl 2019-2022'!$AT$12,'CAP IMPROVE Actl 2019-2022'!$AV$12,'CAP IMPROVE Actl 2019-2022'!$AX$12,'CAP IMPROVE Actl 2019-2022'!$AZ$12,'CAP IMPROVE Actl 2019-2022'!$BB$12,'CAP IMPROVE Actl 2019-2022'!$BD$12,'CAP IMPROVE Actl 2019-2022'!$BF$12,'CAP IMPROVE Actl 2019-2022'!$BH$12,'CAP IMPROVE Actl 2019-2022'!$BJ$12</definedName>
    <definedName name="QB_FORMULA_3" localSheetId="7" hidden="1">'Monthly Act Capital funds 2022'!$X$20,'Monthly Act Capital funds 2022'!$AF$20,'Monthly Act Capital funds 2022'!$H$21,'Monthly Act Capital funds 2022'!$J$21,'Monthly Act Capital funds 2022'!$L$21,'Monthly Act Capital funds 2022'!$N$21,'Monthly Act Capital funds 2022'!$P$21,'Monthly Act Capital funds 2022'!$R$21,'Monthly Act Capital funds 2022'!$T$21,'Monthly Act Capital funds 2022'!$V$21,'Monthly Act Capital funds 2022'!$X$21,'Monthly Act Capital funds 2022'!$AF$21,'Monthly Act Capital funds 2022'!$AF$25,'Monthly Act Capital funds 2022'!$H$26,'Monthly Act Capital funds 2022'!$J$26,'Monthly Act Capital funds 2022'!$L$26</definedName>
    <definedName name="QB_FORMULA_3" localSheetId="8" hidden="1">'OPS Actl 2019-2022'!$X$16,'OPS Actl 2019-2022'!$Z$16,'OPS Actl 2019-2022'!$AB$16,'OPS Actl 2019-2022'!$AD$16,'OPS Actl 2019-2022'!$AF$16,'OPS Actl 2019-2022'!$AH$16,'OPS Actl 2019-2022'!$AJ$16,'OPS Actl 2019-2022'!$AL$16,'OPS Actl 2019-2022'!$AN$16,'OPS Actl 2019-2022'!$AP$16,'OPS Actl 2019-2022'!$AR$16,'OPS Actl 2019-2022'!$AT$16,'OPS Actl 2019-2022'!$AV$16,'OPS Actl 2019-2022'!$AX$16,'OPS Actl 2019-2022'!$AZ$16,'OPS Actl 2019-2022'!$BB$16</definedName>
    <definedName name="QB_FORMULA_3" localSheetId="9" hidden="1">'OPS Actl 21-22'!$X$15,'OPS Actl 21-22'!$Z$15,'OPS Actl 21-22'!$AB$15,'OPS Actl 21-22'!$AD$15,'OPS Actl 21-22'!$AF$15,'OPS Actl 21-22'!$AH$15,'OPS Actl 21-22'!$AJ$15,'OPS Actl 21-22'!$AL$15,'OPS Actl 21-22'!$AN$15,'OPS Actl 21-22'!$AP$15,'OPS Actl 21-22'!$AR$15,'OPS Actl 21-22'!$AT$15,'OPS Actl 21-22'!$AV$15,'OPS Actl 21-22'!$AX$15,'OPS Actl 21-22'!$AZ$15,'OPS Actl 21-22'!$BB$15</definedName>
    <definedName name="QB_FORMULA_30" localSheetId="13" hidden="1">'2022 Forecast Worksheet'!#REF!,'2022 Forecast Worksheet'!#REF!,'2022 Forecast Worksheet'!#REF!,'2022 Forecast Worksheet'!#REF!,'2022 Forecast Worksheet'!#REF!,'2022 Forecast Worksheet'!#REF!,'2022 Forecast Worksheet'!$I$64,'2022 Forecast Worksheet'!$M$64,'2022 Forecast Worksheet'!$Q$64,'2022 Forecast Worksheet'!$U$64,'2022 Forecast Worksheet'!$Y$64,'2022 Forecast Worksheet'!$AC$64,'2022 Forecast Worksheet'!#REF!,'2022 Forecast Worksheet'!#REF!,'2022 Forecast Worksheet'!#REF!,'2022 Forecast Worksheet'!#REF!</definedName>
    <definedName name="QB_FORMULA_30" localSheetId="8" hidden="1">'OPS Actl 2019-2022'!$AF$63,'OPS Actl 2019-2022'!$AH$63,'OPS Actl 2019-2022'!$AJ$63,'OPS Actl 2019-2022'!$AL$63,'OPS Actl 2019-2022'!$AN$63,'OPS Actl 2019-2022'!$AP$63,'OPS Actl 2019-2022'!$AR$63,'OPS Actl 2019-2022'!$AT$63,'OPS Actl 2019-2022'!$AV$63,'OPS Actl 2019-2022'!$AX$63,'OPS Actl 2019-2022'!$AZ$63,'OPS Actl 2019-2022'!$BB$63,'OPS Actl 2019-2022'!$BD$63,'OPS Actl 2019-2022'!$BF$63,'OPS Actl 2019-2022'!$BH$63,'OPS Actl 2019-2022'!$BJ$63</definedName>
    <definedName name="QB_FORMULA_31" localSheetId="13" hidden="1">'2022 Forecast Worksheet'!#REF!,'2022 Forecast Worksheet'!#REF!,'2022 Forecast Worksheet'!#REF!</definedName>
    <definedName name="QB_FORMULA_31" localSheetId="8" hidden="1">'OPS Actl 2019-2022'!$BL$63,'OPS Actl 2019-2022'!$BN$63,'OPS Actl 2019-2022'!#REF!</definedName>
    <definedName name="QB_FORMULA_4" localSheetId="10" hidden="1">'2020 Budget'!$AB$20,'2020 Budget'!$AD$20,'2020 Budget'!$H$21,'2020 Budget'!$J$21,'2020 Budget'!$L$21,'2020 Budget'!$N$21,'2020 Budget'!$T$21,'2020 Budget'!$V$21,'2020 Budget'!$X$21,'2020 Budget'!$Z$21,'2020 Budget'!$AB$21,'2020 Budget'!$AD$21,'2020 Budget'!$Z$22,'2020 Budget'!$AB$22,'2020 Budget'!$AD$22,'2020 Budget'!$H$23</definedName>
    <definedName name="QB_FORMULA_4" localSheetId="11" hidden="1">'2021 Budget'!$AB$20,'2021 Budget'!$AD$20,'2021 Budget'!$L$21,'2021 Budget'!$Z$21,'2021 Budget'!$AB$21,'2021 Budget'!$AD$21,'2021 Budget'!$L$23,'2021 Budget'!$Z$23,'2021 Budget'!$AB$23,'2021 Budget'!$AD$23,'2021 Budget'!$L$24,'2021 Budget'!$Z$24,'2021 Budget'!$AB$24,'2021 Budget'!$AD$24,'2021 Budget'!$L$25,'2021 Budget'!$X$25</definedName>
    <definedName name="QB_FORMULA_4" localSheetId="12" hidden="1">'2022 Forecast Fix'!#REF!,'2022 Forecast Fix'!#REF!,'2022 Forecast Fix'!$M$23,'2022 Forecast Fix'!#REF!,'2022 Forecast Fix'!#REF!,'2022 Forecast Fix'!#REF!,'2022 Forecast Fix'!$M$24,'2022 Forecast Fix'!#REF!,'2022 Forecast Fix'!#REF!,'2022 Forecast Fix'!#REF!,'2022 Forecast Fix'!$H$26,'2022 Forecast Fix'!$L$26,'2022 Forecast Fix'!$M$26,'2022 Forecast Fix'!#REF!,'2022 Forecast Fix'!#REF!,'2022 Forecast Fix'!#REF!</definedName>
    <definedName name="QB_FORMULA_4"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Worksheet'!$H$18,'2022 Forecast Worksheet'!$L$18</definedName>
    <definedName name="QB_FORMULA_4" localSheetId="6" hidden="1">'2023 Capital DRAFT Budget'!#REF!,'2023 Capital DRAFT Budget'!#REF!,'2023 Capital DRAFT Budget'!#REF!,'2023 Capital DRAFT Budget'!#REF!,'2023 Capital DRAFT Budget'!#REF!,'2023 Capital DRAFT Budget'!$K$50,'2023 Capital DRAFT Budget'!$P$50,'2023 Capital DRAFT Budget'!#REF!,'2023 Capital DRAFT Budget'!#REF!,'2023 Capital DRAFT Budget'!#REF!,'2023 Capital DRAFT Budget'!#REF!,'2023 Capital DRAFT Budget'!#REF!,'2023 Capital DRAFT Budget'!#REF!,'2023 Capital DRAFT Budget'!#REF!,'2023 Capital DRAFT Budget'!#REF!,'2023 Capital DRAFT Budget'!#REF!</definedName>
    <definedName name="QB_FORMULA_4" localSheetId="5" hidden="1">'2023 Ops Budget'!#REF!,'2023 Ops Budget'!#REF!,'2023 Ops Budget'!#REF!,'2023 Ops Budget'!#REF!,'2023 Ops Budget'!#REF!,'2023 Ops Budget'!#REF!,'2023 Ops Budget'!$H$16,'2023 Ops Budget'!$I$16,'2023 Ops Budget'!$J$16,'2023 Ops Budget'!$L$16,'2023 Ops Budget'!$M$16,'2023 Ops Budget'!$N$16,'2023 Ops Budget'!$P$16,'2023 Ops Budget'!$S$16,'2023 Ops Budget'!$T$16,'2023 Ops Budget'!#REF!</definedName>
    <definedName name="QB_FORMULA_4" localSheetId="3" hidden="1">'2024 Capital DRAFT Budget'!#REF!,'2024 Capital DRAFT Budget'!#REF!,'2024 Capital DRAFT Budget'!#REF!,'2024 Capital DRAFT Budget'!#REF!,'2024 Capital DRAFT Budget'!#REF!,'2024 Capital DRAFT Budget'!$K$56,'2024 Capital DRAFT Budget'!$Q$56,'2024 Capital DRAFT Budget'!#REF!,'2024 Capital DRAFT Budget'!#REF!,'2024 Capital DRAFT Budget'!#REF!,'2024 Capital DRAFT Budget'!#REF!,'2024 Capital DRAFT Budget'!#REF!,'2024 Capital DRAFT Budget'!#REF!,'2024 Capital DRAFT Budget'!#REF!,'2024 Capital DRAFT Budget'!#REF!,'2024 Capital DRAFT Budget'!#REF!</definedName>
    <definedName name="QB_FORMULA_4" localSheetId="4" hidden="1">'CAP IMPROVE Actl 2019-2022'!$BL$12,'CAP IMPROVE Actl 2019-2022'!$BN$12,'CAP IMPROVE Actl 2019-2022'!$BP$12,'CAP IMPROVE Actl 2019-2022'!$BP$14,'CAP IMPROVE Actl 2019-2022'!$BP$15,'CAP IMPROVE Actl 2019-2022'!$BP$16,'CAP IMPROVE Actl 2019-2022'!$H$17,'CAP IMPROVE Actl 2019-2022'!$J$17,'CAP IMPROVE Actl 2019-2022'!$L$17,'CAP IMPROVE Actl 2019-2022'!$N$17,'CAP IMPROVE Actl 2019-2022'!$P$17,'CAP IMPROVE Actl 2019-2022'!$R$17,'CAP IMPROVE Actl 2019-2022'!$T$17,'CAP IMPROVE Actl 2019-2022'!$V$17,'CAP IMPROVE Actl 2019-2022'!$X$17,'CAP IMPROVE Actl 2019-2022'!$Z$17</definedName>
    <definedName name="QB_FORMULA_4" localSheetId="7" hidden="1">'Monthly Act Capital funds 2022'!$N$26,'Monthly Act Capital funds 2022'!$P$26,'Monthly Act Capital funds 2022'!$R$26,'Monthly Act Capital funds 2022'!$T$26,'Monthly Act Capital funds 2022'!$V$26,'Monthly Act Capital funds 2022'!$X$26,'Monthly Act Capital funds 2022'!$AF$26,'Monthly Act Capital funds 2022'!$H$27,'Monthly Act Capital funds 2022'!$J$27,'Monthly Act Capital funds 2022'!$L$27,'Monthly Act Capital funds 2022'!$N$27,'Monthly Act Capital funds 2022'!$P$27,'Monthly Act Capital funds 2022'!$R$27,'Monthly Act Capital funds 2022'!$T$27,'Monthly Act Capital funds 2022'!$V$27,'Monthly Act Capital funds 2022'!$X$27</definedName>
    <definedName name="QB_FORMULA_4" localSheetId="8" hidden="1">'OPS Actl 2019-2022'!$BD$16,'OPS Actl 2019-2022'!$BF$16,'OPS Actl 2019-2022'!$BH$16,'OPS Actl 2019-2022'!$BJ$16,'OPS Actl 2019-2022'!$BL$16,'OPS Actl 2019-2022'!$BN$16,'OPS Actl 2019-2022'!#REF!,'OPS Actl 2019-2022'!#REF!,'OPS Actl 2019-2022'!$H$18,'OPS Actl 2019-2022'!$J$18,'OPS Actl 2019-2022'!$L$18,'OPS Actl 2019-2022'!$N$18,'OPS Actl 2019-2022'!$P$18,'OPS Actl 2019-2022'!$R$18,'OPS Actl 2019-2022'!$T$18,'OPS Actl 2019-2022'!$V$18</definedName>
    <definedName name="QB_FORMULA_4" localSheetId="9" hidden="1">'OPS Actl 21-22'!$BD$15,'OPS Actl 21-22'!$BF$15,'OPS Actl 21-22'!$BD$16,'OPS Actl 21-22'!$BF$16,'OPS Actl 21-22'!$H$17,'OPS Actl 21-22'!$J$17,'OPS Actl 21-22'!$L$17,'OPS Actl 21-22'!$N$17,'OPS Actl 21-22'!$P$17,'OPS Actl 21-22'!$R$17,'OPS Actl 21-22'!$T$17,'OPS Actl 21-22'!$V$17,'OPS Actl 21-22'!$X$17,'OPS Actl 21-22'!$Z$17,'OPS Actl 21-22'!$AB$17,'OPS Actl 21-22'!$AD$17</definedName>
    <definedName name="QB_FORMULA_5" localSheetId="10" hidden="1">'2020 Budget'!$J$23,'2020 Budget'!$L$23,'2020 Budget'!$N$23,'2020 Budget'!$P$23,'2020 Budget'!$R$23,'2020 Budget'!$T$23,'2020 Budget'!$V$23,'2020 Budget'!$X$23,'2020 Budget'!$Z$23,'2020 Budget'!$AB$23,'2020 Budget'!$AD$23,'2020 Budget'!$H$24,'2020 Budget'!$J$24,'2020 Budget'!$L$24,'2020 Budget'!$N$24,'2020 Budget'!$P$24</definedName>
    <definedName name="QB_FORMULA_5" localSheetId="11" hidden="1">'2021 Budget'!$Z$25,'2021 Budget'!$AB$25,'2021 Budget'!$AD$25,'2021 Budget'!$H$26,'2021 Budget'!$J$26,'2021 Budget'!$L$26,'2021 Budget'!$N$26,'2021 Budget'!$T$26,'2021 Budget'!$V$26,'2021 Budget'!$X$26,'2021 Budget'!$Z$26,'2021 Budget'!$AB$26,'2021 Budget'!$AD$26,'2021 Budget'!$Z$27,'2021 Budget'!$AB$27,'2021 Budget'!$AD$27</definedName>
    <definedName name="QB_FORMULA_5" localSheetId="12" hidden="1">'2022 Forecast Fix'!#REF!,'2022 Forecast Fix'!#REF!,'2022 Forecast Fix'!#REF!,'2022 Forecast Fix'!#REF!,'2022 Forecast Fix'!#REF!,'2022 Forecast Fix'!$H$28,'2022 Forecast Fix'!$L$28,'2022 Forecast Fix'!$M$28,'2022 Forecast Fix'!#REF!,'2022 Forecast Fix'!#REF!,'2022 Forecast Fix'!#REF!,'2022 Forecast Fix'!#REF!,'2022 Forecast Fix'!#REF!,'2022 Forecast Fix'!#REF!,'2022 Forecast Fix'!#REF!,'2022 Forecast Fix'!#REF!</definedName>
    <definedName name="QB_FORMULA_5" localSheetId="13" hidden="1">'2022 Forecast Worksheet'!$P$18,'2022 Forecast Worksheet'!$T$18,'2022 Forecast Worksheet'!$X$18,'2022 Forecast Worksheet'!$AB$18,'2022 Forecast Worksheet'!#REF!,'2022 Forecast Worksheet'!#REF!,'2022 Forecast Worksheet'!#REF!,'2022 Forecast Worksheet'!#REF!,'2022 Forecast Worksheet'!#REF!,'2022 Forecast Worksheet'!#REF!,'2022 Forecast Worksheet'!$I$18,'2022 Forecast Worksheet'!$M$18,'2022 Forecast Worksheet'!$Q$18,'2022 Forecast Worksheet'!$U$18,'2022 Forecast Worksheet'!$Y$18,'2022 Forecast Worksheet'!$AC$18</definedName>
    <definedName name="QB_FORMULA_5" localSheetId="6" hidden="1">'2023 Capital DRAFT Budget'!#REF!,'2023 Capital DRAFT Budget'!#REF!,'2023 Capital DRAFT Budget'!#REF!,'2023 Capital DRAFT Budget'!#REF!,'2023 Capital DRAFT Budget'!#REF!,'2023 Capital DRAFT Budget'!$K$72,'2023 Capital DRAFT Budget'!$P$72,'2023 Capital DRAFT Budget'!#REF!,'2023 Capital DRAFT Budget'!#REF!,'2023 Capital DRAFT Budget'!#REF!,'2023 Capital DRAFT Budget'!#REF!,'2023 Capital DRAFT Budget'!#REF!,'2023 Capital DRAFT Budget'!#REF!,'2023 Capital DRAFT Budget'!$K$28,'2023 Capital DRAFT Budget'!$P$28,'2023 Capital DRAFT Budget'!#REF!</definedName>
    <definedName name="QB_FORMULA_5" localSheetId="5" hidden="1">'2023 Ops Budget'!#REF!,'2023 Ops Budget'!#REF!,'2023 Ops Budget'!#REF!,'2023 Ops Budget'!#REF!,'2023 Ops Budget'!#REF!,'2023 Ops Budget'!#REF!,'2023 Ops Budget'!#REF!,'2023 Ops Budget'!#REF!,'2023 Ops Budget'!#REF!,'2023 Ops Budget'!#REF!,'2023 Ops Budget'!#REF!,'2023 Ops Budget'!#REF!,'2023 Ops Budget'!#REF!,'2023 Ops Budget'!#REF!,'2023 Ops Budget'!$J$18,'2023 Ops Budget'!$N$18</definedName>
    <definedName name="QB_FORMULA_5" localSheetId="3" hidden="1">'2024 Capital DRAFT Budget'!#REF!,'2024 Capital DRAFT Budget'!#REF!,'2024 Capital DRAFT Budget'!#REF!,'2024 Capital DRAFT Budget'!#REF!,'2024 Capital DRAFT Budget'!#REF!,'2024 Capital DRAFT Budget'!$K$78,'2024 Capital DRAFT Budget'!$Q$78,'2024 Capital DRAFT Budget'!#REF!,'2024 Capital DRAFT Budget'!#REF!,'2024 Capital DRAFT Budget'!#REF!,'2024 Capital DRAFT Budget'!#REF!,'2024 Capital DRAFT Budget'!#REF!,'2024 Capital DRAFT Budget'!#REF!,'2024 Capital DRAFT Budget'!$K$28,'2024 Capital DRAFT Budget'!$Q$28,'2024 Capital DRAFT Budget'!#REF!</definedName>
    <definedName name="QB_FORMULA_5" localSheetId="4" hidden="1">'CAP IMPROVE Actl 2019-2022'!$AB$17,'CAP IMPROVE Actl 2019-2022'!$AD$17,'CAP IMPROVE Actl 2019-2022'!$AF$17,'CAP IMPROVE Actl 2019-2022'!$AH$17,'CAP IMPROVE Actl 2019-2022'!$AJ$17,'CAP IMPROVE Actl 2019-2022'!$AL$17,'CAP IMPROVE Actl 2019-2022'!$AN$17,'CAP IMPROVE Actl 2019-2022'!$AP$17,'CAP IMPROVE Actl 2019-2022'!$AR$17,'CAP IMPROVE Actl 2019-2022'!$AT$17,'CAP IMPROVE Actl 2019-2022'!$AV$17,'CAP IMPROVE Actl 2019-2022'!$AX$17,'CAP IMPROVE Actl 2019-2022'!$AZ$17,'CAP IMPROVE Actl 2019-2022'!$BB$17,'CAP IMPROVE Actl 2019-2022'!$BD$17,'CAP IMPROVE Actl 2019-2022'!$BF$17</definedName>
    <definedName name="QB_FORMULA_5" localSheetId="7" hidden="1">'Monthly Act Capital funds 2022'!$AF$27,'Monthly Act Capital funds 2022'!$AF$28,'Monthly Act Capital funds 2022'!$AF$31,'Monthly Act Capital funds 2022'!$H$32,'Monthly Act Capital funds 2022'!$J$32,'Monthly Act Capital funds 2022'!$L$32,'Monthly Act Capital funds 2022'!$N$32,'Monthly Act Capital funds 2022'!$P$32,'Monthly Act Capital funds 2022'!$R$32,'Monthly Act Capital funds 2022'!$T$32,'Monthly Act Capital funds 2022'!$V$32,'Monthly Act Capital funds 2022'!$X$32,'Monthly Act Capital funds 2022'!$AF$32,'Monthly Act Capital funds 2022'!$AF$34,'Monthly Act Capital funds 2022'!$AF$35,'Monthly Act Capital funds 2022'!$H$36</definedName>
    <definedName name="QB_FORMULA_5" localSheetId="8" hidden="1">'OPS Actl 2019-2022'!$X$18,'OPS Actl 2019-2022'!$Z$18,'OPS Actl 2019-2022'!$AB$18,'OPS Actl 2019-2022'!$AD$18,'OPS Actl 2019-2022'!$AF$18,'OPS Actl 2019-2022'!$AH$18,'OPS Actl 2019-2022'!$AJ$18,'OPS Actl 2019-2022'!$AL$18,'OPS Actl 2019-2022'!$AN$18,'OPS Actl 2019-2022'!$AP$18,'OPS Actl 2019-2022'!$AR$18,'OPS Actl 2019-2022'!$AT$18,'OPS Actl 2019-2022'!$AV$18,'OPS Actl 2019-2022'!$AX$18,'OPS Actl 2019-2022'!$AZ$18,'OPS Actl 2019-2022'!$BB$18</definedName>
    <definedName name="QB_FORMULA_5" localSheetId="9" hidden="1">'OPS Actl 21-22'!$AF$17,'OPS Actl 21-22'!$AH$17,'OPS Actl 21-22'!$AJ$17,'OPS Actl 21-22'!$AL$17,'OPS Actl 21-22'!$AN$17,'OPS Actl 21-22'!$AP$17,'OPS Actl 21-22'!$AR$17,'OPS Actl 21-22'!$AT$17,'OPS Actl 21-22'!$AV$17,'OPS Actl 21-22'!$AX$17,'OPS Actl 21-22'!$AZ$17,'OPS Actl 21-22'!$BB$17,'OPS Actl 21-22'!$BD$17,'OPS Actl 21-22'!$BF$17,'OPS Actl 21-22'!$H$18,'OPS Actl 21-22'!$J$18</definedName>
    <definedName name="QB_FORMULA_6" localSheetId="10" hidden="1">'2020 Budget'!$R$24,'2020 Budget'!$T$24,'2020 Budget'!$V$24,'2020 Budget'!$X$24,'2020 Budget'!$Z$24,'2020 Budget'!$AB$24,'2020 Budget'!$AD$24,'2020 Budget'!$L$26,'2020 Budget'!$Z$26,'2020 Budget'!$AB$26,'2020 Budget'!$AD$26,'2020 Budget'!$L$28,'2020 Budget'!$Z$28,'2020 Budget'!$AB$28,'2020 Budget'!$AD$28,'2020 Budget'!$L$30</definedName>
    <definedName name="QB_FORMULA_6" localSheetId="11" hidden="1">'2021 Budget'!$H$28,'2021 Budget'!$J$28,'2021 Budget'!$L$28,'2021 Budget'!$N$28,'2021 Budget'!$P$28,'2021 Budget'!$R$28,'2021 Budget'!$T$28,'2021 Budget'!$V$28,'2021 Budget'!$X$28,'2021 Budget'!$Z$28,'2021 Budget'!$AB$28,'2021 Budget'!$AD$28,'2021 Budget'!$H$29,'2021 Budget'!$J$29,'2021 Budget'!$L$29,'2021 Budget'!$N$29</definedName>
    <definedName name="QB_FORMULA_6" localSheetId="12" hidden="1">'2022 Forecast Fix'!#REF!,'2022 Forecast Fix'!$H$29,'2022 Forecast Fix'!$L$29,'2022 Forecast Fix'!$M$29,'2022 Forecast Fix'!#REF!,'2022 Forecast Fix'!#REF!,'2022 Forecast Fix'!#REF!,'2022 Forecast Fix'!#REF!,'2022 Forecast Fix'!#REF!,'2022 Forecast Fix'!#REF!,'2022 Forecast Fix'!#REF!,'2022 Forecast Fix'!#REF!,'2022 Forecast Fix'!#REF!,'2022 Forecast Fix'!$M$31,'2022 Forecast Fix'!#REF!,'2022 Forecast Fix'!#REF!</definedName>
    <definedName name="QB_FORMULA_6"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Worksheet'!$H$19,'2022 Forecast Worksheet'!$L$19,'2022 Forecast Worksheet'!$P$19</definedName>
    <definedName name="QB_FORMULA_6" localSheetId="6" hidden="1">'2023 Capital DRAFT Budget'!#REF!,'2023 Capital DRAFT Budget'!#REF!,'2023 Capital DRAFT Budget'!#REF!,'2023 Capital DRAFT Budget'!#REF!,'2023 Capital DRAFT Budget'!#REF!,'2023 Capital DRAFT Budget'!$K$34,'2023 Capital DRAFT Budget'!$P$34,'2023 Capital DRAFT Budget'!#REF!,'2023 Capital DRAFT Budget'!#REF!,'2023 Capital DRAFT Budget'!#REF!,'2023 Capital DRAFT Budget'!#REF!,'2023 Capital DRAFT Budget'!$K$38,'2023 Capital DRAFT Budget'!$P$38,'2023 Capital DRAFT Budget'!#REF!,'2023 Capital DRAFT Budget'!#REF!,'2023 Capital DRAFT Budget'!#REF!</definedName>
    <definedName name="QB_FORMULA_6" localSheetId="5" hidden="1">'2023 Ops Budget'!$T$18,'2023 Ops Budget'!#REF!,'2023 Ops Budget'!#REF!,'2023 Ops Budget'!#REF!,'2023 Ops Budget'!$J$20,'2023 Ops Budget'!$N$20,'2023 Ops Budget'!$T$20,'2023 Ops Budget'!#REF!,'2023 Ops Budget'!#REF!,'2023 Ops Budget'!#REF!,'2023 Ops Budget'!$J$22,'2023 Ops Budget'!$N$22,'2023 Ops Budget'!$T$22,'2023 Ops Budget'!#REF!,'2023 Ops Budget'!#REF!,'2023 Ops Budget'!#REF!</definedName>
    <definedName name="QB_FORMULA_6" localSheetId="3" hidden="1">'2024 Capital DRAFT Budget'!#REF!,'2024 Capital DRAFT Budget'!#REF!,'2024 Capital DRAFT Budget'!#REF!,'2024 Capital DRAFT Budget'!#REF!,'2024 Capital DRAFT Budget'!#REF!,'2024 Capital DRAFT Budget'!$K$40,'2024 Capital DRAFT Budget'!$Q$40,'2024 Capital DRAFT Budget'!#REF!,'2024 Capital DRAFT Budget'!#REF!,'2024 Capital DRAFT Budget'!#REF!,'2024 Capital DRAFT Budget'!#REF!,'2024 Capital DRAFT Budget'!$K$44,'2024 Capital DRAFT Budget'!$Q$44,'2024 Capital DRAFT Budget'!#REF!,'2024 Capital DRAFT Budget'!#REF!,'2024 Capital DRAFT Budget'!#REF!</definedName>
    <definedName name="QB_FORMULA_6" localSheetId="4" hidden="1">'CAP IMPROVE Actl 2019-2022'!$BH$17,'CAP IMPROVE Actl 2019-2022'!$BJ$17,'CAP IMPROVE Actl 2019-2022'!$BL$17,'CAP IMPROVE Actl 2019-2022'!$BN$17,'CAP IMPROVE Actl 2019-2022'!$BP$17,'CAP IMPROVE Actl 2019-2022'!$BP$18,'CAP IMPROVE Actl 2019-2022'!$BP$19,'CAP IMPROVE Actl 2019-2022'!$BP$20,'CAP IMPROVE Actl 2019-2022'!$H$21,'CAP IMPROVE Actl 2019-2022'!$J$21,'CAP IMPROVE Actl 2019-2022'!$L$21,'CAP IMPROVE Actl 2019-2022'!$N$21,'CAP IMPROVE Actl 2019-2022'!$P$21,'CAP IMPROVE Actl 2019-2022'!$R$21,'CAP IMPROVE Actl 2019-2022'!$T$21,'CAP IMPROVE Actl 2019-2022'!$V$21</definedName>
    <definedName name="QB_FORMULA_6" localSheetId="7" hidden="1">'Monthly Act Capital funds 2022'!$J$36,'Monthly Act Capital funds 2022'!$L$36,'Monthly Act Capital funds 2022'!$N$36,'Monthly Act Capital funds 2022'!$P$36,'Monthly Act Capital funds 2022'!$R$36,'Monthly Act Capital funds 2022'!$T$36,'Monthly Act Capital funds 2022'!$V$36,'Monthly Act Capital funds 2022'!$X$36,'Monthly Act Capital funds 2022'!$AF$36,'Monthly Act Capital funds 2022'!$AF$38,'Monthly Act Capital funds 2022'!$H$39,'Monthly Act Capital funds 2022'!$J$39,'Monthly Act Capital funds 2022'!$L$39,'Monthly Act Capital funds 2022'!$N$39,'Monthly Act Capital funds 2022'!$P$39,'Monthly Act Capital funds 2022'!$R$39</definedName>
    <definedName name="QB_FORMULA_6" localSheetId="8" hidden="1">'OPS Actl 2019-2022'!$BD$18,'OPS Actl 2019-2022'!$BF$18,'OPS Actl 2019-2022'!$BH$18,'OPS Actl 2019-2022'!$BJ$18,'OPS Actl 2019-2022'!$BL$18,'OPS Actl 2019-2022'!$BN$18,'OPS Actl 2019-2022'!#REF!,'OPS Actl 2019-2022'!$H$19,'OPS Actl 2019-2022'!$J$19,'OPS Actl 2019-2022'!$L$19,'OPS Actl 2019-2022'!$N$19,'OPS Actl 2019-2022'!$P$19,'OPS Actl 2019-2022'!$R$19,'OPS Actl 2019-2022'!$T$19,'OPS Actl 2019-2022'!$V$19,'OPS Actl 2019-2022'!$X$19</definedName>
    <definedName name="QB_FORMULA_6" localSheetId="9" hidden="1">'OPS Actl 21-22'!$L$18,'OPS Actl 21-22'!$N$18,'OPS Actl 21-22'!$P$18,'OPS Actl 21-22'!$R$18,'OPS Actl 21-22'!$T$18,'OPS Actl 21-22'!$V$18,'OPS Actl 21-22'!$X$18,'OPS Actl 21-22'!$Z$18,'OPS Actl 21-22'!$AB$18,'OPS Actl 21-22'!$AD$18,'OPS Actl 21-22'!$AF$18,'OPS Actl 21-22'!$AH$18,'OPS Actl 21-22'!$AJ$18,'OPS Actl 21-22'!$AL$18,'OPS Actl 21-22'!$AN$18,'OPS Actl 21-22'!$AP$18</definedName>
    <definedName name="QB_FORMULA_7" localSheetId="10" hidden="1">'2020 Budget'!$Z$30,'2020 Budget'!$AB$30,'2020 Budget'!$AD$30,'2020 Budget'!$L$31,'2020 Budget'!$Z$31,'2020 Budget'!$AB$31,'2020 Budget'!$AD$31,'2020 Budget'!$L$32,'2020 Budget'!$X$32,'2020 Budget'!$Z$32,'2020 Budget'!$AB$32,'2020 Budget'!$AD$32,'2020 Budget'!$H$33,'2020 Budget'!$J$33,'2020 Budget'!$L$33,'2020 Budget'!$N$33</definedName>
    <definedName name="QB_FORMULA_7" localSheetId="11" hidden="1">'2021 Budget'!$P$29,'2021 Budget'!$R$29,'2021 Budget'!$T$29,'2021 Budget'!$V$29,'2021 Budget'!$X$29,'2021 Budget'!$Z$29,'2021 Budget'!$AB$29,'2021 Budget'!$AD$29,'2021 Budget'!$L$31,'2021 Budget'!$Z$31,'2021 Budget'!$AB$31,'2021 Budget'!$AD$31,'2021 Budget'!$L$33,'2021 Budget'!$Z$33,'2021 Budget'!$AB$33,'2021 Budget'!$AD$33</definedName>
    <definedName name="QB_FORMULA_7" localSheetId="12" hidden="1">'2022 Forecast Fix'!#REF!,'2022 Forecast Fix'!$M$33,'2022 Forecast Fix'!#REF!,'2022 Forecast Fix'!#REF!,'2022 Forecast Fix'!#REF!,'2022 Forecast Fix'!$M$35,'2022 Forecast Fix'!#REF!,'2022 Forecast Fix'!#REF!,'2022 Forecast Fix'!#REF!,'2022 Forecast Fix'!$M$36,'2022 Forecast Fix'!#REF!,'2022 Forecast Fix'!#REF!,'2022 Forecast Fix'!#REF!,'2022 Forecast Fix'!$M$37,'2022 Forecast Fix'!#REF!,'2022 Forecast Fix'!#REF!</definedName>
    <definedName name="QB_FORMULA_7" localSheetId="13" hidden="1">'2022 Forecast Worksheet'!$T$19,'2022 Forecast Worksheet'!$X$19,'2022 Forecast Worksheet'!$AB$19,'2022 Forecast Worksheet'!#REF!,'2022 Forecast Worksheet'!#REF!,'2022 Forecast Worksheet'!#REF!,'2022 Forecast Worksheet'!#REF!,'2022 Forecast Worksheet'!#REF!,'2022 Forecast Worksheet'!#REF!,'2022 Forecast Worksheet'!$I$19,'2022 Forecast Worksheet'!$M$19,'2022 Forecast Worksheet'!$Q$19,'2022 Forecast Worksheet'!$U$19,'2022 Forecast Worksheet'!$Y$19,'2022 Forecast Worksheet'!$AC$19,'2022 Forecast Worksheet'!#REF!</definedName>
    <definedName name="QB_FORMULA_7" localSheetId="6" hidden="1">'2023 Capital DRAFT Budget'!#REF!,'2023 Capital DRAFT Budget'!#REF!,'2023 Capital DRAFT Budget'!#REF!,'2023 Capital DRAFT Budget'!#REF!,'2023 Capital DRAFT Budget'!#REF!,'2023 Capital DRAFT Budget'!#REF!,'2023 Capital DRAFT Budget'!#REF!,'2023 Capital DRAFT Budget'!$K$73,'2023 Capital DRAFT Budget'!$P$73,'2023 Capital DRAFT Budget'!#REF!,'2023 Capital DRAFT Budget'!#REF!,'2023 Capital DRAFT Budget'!#REF!,'2023 Capital DRAFT Budget'!$K$76,'2023 Capital DRAFT Budget'!$P$76,'2023 Capital DRAFT Budget'!#REF!,'2023 Capital DRAFT Budget'!$K$77</definedName>
    <definedName name="QB_FORMULA_7" localSheetId="5" hidden="1">'2023 Ops Budget'!$J$23,'2023 Ops Budget'!$N$23,'2023 Ops Budget'!$T$23,'2023 Ops Budget'!#REF!,'2023 Ops Budget'!#REF!,'2023 Ops Budget'!#REF!,'2023 Ops Budget'!$J$24,'2023 Ops Budget'!$N$24,'2023 Ops Budget'!$T$24,'2023 Ops Budget'!#REF!,'2023 Ops Budget'!#REF!,'2023 Ops Budget'!#REF!,'2023 Ops Budget'!#REF!,'2023 Ops Budget'!#REF!,'2023 Ops Budget'!#REF!,'2023 Ops Budget'!#REF!</definedName>
    <definedName name="QB_FORMULA_7" localSheetId="3" hidden="1">'2024 Capital DRAFT Budget'!#REF!,'2024 Capital DRAFT Budget'!#REF!,'2024 Capital DRAFT Budget'!#REF!,'2024 Capital DRAFT Budget'!#REF!,'2024 Capital DRAFT Budget'!#REF!,'2024 Capital DRAFT Budget'!#REF!,'2024 Capital DRAFT Budget'!#REF!,'2024 Capital DRAFT Budget'!$K$79,'2024 Capital DRAFT Budget'!$Q$79,'2024 Capital DRAFT Budget'!#REF!,'2024 Capital DRAFT Budget'!#REF!,'2024 Capital DRAFT Budget'!#REF!,'2024 Capital DRAFT Budget'!$K$83,'2024 Capital DRAFT Budget'!$Q$83,'2024 Capital DRAFT Budget'!#REF!,'2024 Capital DRAFT Budget'!$K$84</definedName>
    <definedName name="QB_FORMULA_7" localSheetId="4" hidden="1">'CAP IMPROVE Actl 2019-2022'!$X$21,'CAP IMPROVE Actl 2019-2022'!$Z$21,'CAP IMPROVE Actl 2019-2022'!$AB$21,'CAP IMPROVE Actl 2019-2022'!$AD$21,'CAP IMPROVE Actl 2019-2022'!$AF$21,'CAP IMPROVE Actl 2019-2022'!$AH$21,'CAP IMPROVE Actl 2019-2022'!$AJ$21,'CAP IMPROVE Actl 2019-2022'!$AL$21,'CAP IMPROVE Actl 2019-2022'!$AN$21,'CAP IMPROVE Actl 2019-2022'!$AP$21,'CAP IMPROVE Actl 2019-2022'!$AR$21,'CAP IMPROVE Actl 2019-2022'!$AT$21,'CAP IMPROVE Actl 2019-2022'!$AV$21,'CAP IMPROVE Actl 2019-2022'!$AX$21,'CAP IMPROVE Actl 2019-2022'!$AZ$21,'CAP IMPROVE Actl 2019-2022'!$BB$21</definedName>
    <definedName name="QB_FORMULA_7" localSheetId="7" hidden="1">'Monthly Act Capital funds 2022'!$T$39,'Monthly Act Capital funds 2022'!$V$39,'Monthly Act Capital funds 2022'!$X$39,'Monthly Act Capital funds 2022'!$AF$39,'Monthly Act Capital funds 2022'!$H$42,'Monthly Act Capital funds 2022'!$J$42,'Monthly Act Capital funds 2022'!$L$42,'Monthly Act Capital funds 2022'!$N$42,'Monthly Act Capital funds 2022'!$P$42,'Monthly Act Capital funds 2022'!$R$42,'Monthly Act Capital funds 2022'!$T$42,'Monthly Act Capital funds 2022'!$V$42,'Monthly Act Capital funds 2022'!$X$42,'Monthly Act Capital funds 2022'!$AF$42,'Monthly Act Capital funds 2022'!$AF$43,'Monthly Act Capital funds 2022'!$H$44</definedName>
    <definedName name="QB_FORMULA_7" localSheetId="8" hidden="1">'OPS Actl 2019-2022'!$Z$19,'OPS Actl 2019-2022'!$AB$19,'OPS Actl 2019-2022'!$AD$19,'OPS Actl 2019-2022'!$AF$19,'OPS Actl 2019-2022'!$AH$19,'OPS Actl 2019-2022'!$AJ$19,'OPS Actl 2019-2022'!$AL$19,'OPS Actl 2019-2022'!$AN$19,'OPS Actl 2019-2022'!$AP$19,'OPS Actl 2019-2022'!$AR$19,'OPS Actl 2019-2022'!$AT$19,'OPS Actl 2019-2022'!$AV$19,'OPS Actl 2019-2022'!$AX$19,'OPS Actl 2019-2022'!$AZ$19,'OPS Actl 2019-2022'!$BB$19,'OPS Actl 2019-2022'!$BD$19</definedName>
    <definedName name="QB_FORMULA_7" localSheetId="9" hidden="1">'OPS Actl 21-22'!$AR$18,'OPS Actl 21-22'!$AT$18,'OPS Actl 21-22'!$AV$18,'OPS Actl 21-22'!$AX$18,'OPS Actl 21-22'!$AZ$18,'OPS Actl 21-22'!$BB$18,'OPS Actl 21-22'!$BD$18,'OPS Actl 21-22'!$BF$18,'OPS Actl 21-22'!$BD$20,'OPS Actl 21-22'!$BF$20,'OPS Actl 21-22'!$BD$22,'OPS Actl 21-22'!$BF$22,'OPS Actl 21-22'!$BD$24,'OPS Actl 21-22'!$BF$24,'OPS Actl 21-22'!$BD$25,'OPS Actl 21-22'!$BF$25</definedName>
    <definedName name="QB_FORMULA_8" localSheetId="10" hidden="1">'2020 Budget'!$T$33,'2020 Budget'!$V$33,'2020 Budget'!$X$33,'2020 Budget'!$Z$33,'2020 Budget'!$AB$33,'2020 Budget'!$AD$33,'2020 Budget'!$L$35,'2020 Budget'!$Z$35,'2020 Budget'!$AB$35,'2020 Budget'!$AD$35,'2020 Budget'!$L$36,'2020 Budget'!$Z$36,'2020 Budget'!$AB$36,'2020 Budget'!$AD$36,'2020 Budget'!$H$37,'2020 Budget'!$J$37</definedName>
    <definedName name="QB_FORMULA_8" localSheetId="11" hidden="1">'2021 Budget'!$L$35,'2021 Budget'!$Z$35,'2021 Budget'!$AB$35,'2021 Budget'!$AD$35,'2021 Budget'!$L$36,'2021 Budget'!$Z$36,'2021 Budget'!$AB$36,'2021 Budget'!$AD$36,'2021 Budget'!$L$37,'2021 Budget'!$X$37,'2021 Budget'!$Z$37,'2021 Budget'!$AB$37,'2021 Budget'!$AD$37,'2021 Budget'!$L$38,'2021 Budget'!$Z$38,'2021 Budget'!$AB$38</definedName>
    <definedName name="QB_FORMULA_8" localSheetId="12" hidden="1">'2022 Forecast Fix'!#REF!,'2022 Forecast Fix'!#REF!,'2022 Forecast Fix'!$H$38,'2022 Forecast Fix'!$L$38,'2022 Forecast Fix'!$M$38,'2022 Forecast Fix'!#REF!,'2022 Forecast Fix'!#REF!,'2022 Forecast Fix'!#REF!,'2022 Forecast Fix'!#REF!,'2022 Forecast Fix'!#REF!,'2022 Forecast Fix'!#REF!,'2022 Forecast Fix'!#REF!,'2022 Forecast Fix'!$M$40,'2022 Forecast Fix'!#REF!,'2022 Forecast Fix'!#REF!,'2022 Forecast Fix'!#REF!</definedName>
    <definedName name="QB_FORMULA_8" localSheetId="13" hidden="1">'2022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Worksheet'!#REF!,'2022 Forecast Worksheet'!#REF!</definedName>
    <definedName name="QB_FORMULA_8" localSheetId="6" hidden="1">'2023 Capital DRAFT Budget'!$P$77,'2023 Capital DRAFT Budget'!#REF!,'2023 Capital DRAFT Budget'!#REF!,'2023 Capital DRAFT Budget'!#REF!,'2023 Capital DRAFT Budget'!#REF!,'2023 Capital DRAFT Budget'!#REF!</definedName>
    <definedName name="QB_FORMULA_8" localSheetId="5" hidden="1">'2023 Ops Budget'!#REF!,'2023 Ops Budget'!#REF!,'2023 Ops Budget'!$H$25,'2023 Ops Budget'!$I$25,'2023 Ops Budget'!$J$25,'2023 Ops Budget'!$L$25,'2023 Ops Budget'!$M$25,'2023 Ops Budget'!$N$25,'2023 Ops Budget'!$P$25,'2023 Ops Budget'!$S$25,'2023 Ops Budget'!$T$25,'2023 Ops Budget'!#REF!,'2023 Ops Budget'!#REF!,'2023 Ops Budget'!#REF!,'2023 Ops Budget'!$J$27,'2023 Ops Budget'!$N$27</definedName>
    <definedName name="QB_FORMULA_8" localSheetId="3" hidden="1">'2024 Capital DRAFT Budget'!$Q$84,'2024 Capital DRAFT Budget'!#REF!,'2024 Capital DRAFT Budget'!#REF!,'2024 Capital DRAFT Budget'!#REF!,'2024 Capital DRAFT Budget'!#REF!,'2024 Capital DRAFT Budget'!#REF!</definedName>
    <definedName name="QB_FORMULA_8" localSheetId="4" hidden="1">'CAP IMPROVE Actl 2019-2022'!$BD$21,'CAP IMPROVE Actl 2019-2022'!$BF$21,'CAP IMPROVE Actl 2019-2022'!$BH$21,'CAP IMPROVE Actl 2019-2022'!$BJ$21,'CAP IMPROVE Actl 2019-2022'!$BL$21,'CAP IMPROVE Actl 2019-2022'!$BN$21,'CAP IMPROVE Actl 2019-2022'!$BP$21,'CAP IMPROVE Actl 2019-2022'!$H$22,'CAP IMPROVE Actl 2019-2022'!$J$22,'CAP IMPROVE Actl 2019-2022'!$L$22,'CAP IMPROVE Actl 2019-2022'!$N$22,'CAP IMPROVE Actl 2019-2022'!$P$22,'CAP IMPROVE Actl 2019-2022'!$R$22,'CAP IMPROVE Actl 2019-2022'!$T$22,'CAP IMPROVE Actl 2019-2022'!$V$22,'CAP IMPROVE Actl 2019-2022'!$X$22</definedName>
    <definedName name="QB_FORMULA_8" localSheetId="7" hidden="1">'Monthly Act Capital funds 2022'!$J$44,'Monthly Act Capital funds 2022'!$L$44,'Monthly Act Capital funds 2022'!$N$44,'Monthly Act Capital funds 2022'!$P$44,'Monthly Act Capital funds 2022'!$R$44,'Monthly Act Capital funds 2022'!$T$44,'Monthly Act Capital funds 2022'!$V$44,'Monthly Act Capital funds 2022'!$X$44,'Monthly Act Capital funds 2022'!$AF$44,'Monthly Act Capital funds 2022'!$H$45,'Monthly Act Capital funds 2022'!$J$45,'Monthly Act Capital funds 2022'!$L$45,'Monthly Act Capital funds 2022'!$N$45,'Monthly Act Capital funds 2022'!$P$45,'Monthly Act Capital funds 2022'!$R$45,'Monthly Act Capital funds 2022'!$T$45</definedName>
    <definedName name="QB_FORMULA_8" localSheetId="8" hidden="1">'OPS Actl 2019-2022'!$BF$19,'OPS Actl 2019-2022'!$BH$19,'OPS Actl 2019-2022'!$BJ$19,'OPS Actl 2019-2022'!$BL$19,'OPS Actl 2019-2022'!$BN$19,'OPS Actl 2019-2022'!#REF!,'OPS Actl 2019-2022'!#REF!,'OPS Actl 2019-2022'!#REF!,'OPS Actl 2019-2022'!#REF!,'OPS Actl 2019-2022'!#REF!,'OPS Actl 2019-2022'!#REF!,'OPS Actl 2019-2022'!$H$28,'OPS Actl 2019-2022'!$J$28,'OPS Actl 2019-2022'!$L$28,'OPS Actl 2019-2022'!$N$28,'OPS Actl 2019-2022'!$P$28</definedName>
    <definedName name="QB_FORMULA_8" localSheetId="9" hidden="1">'OPS Actl 21-22'!$BD$26,'OPS Actl 21-22'!$BF$26,'OPS Actl 21-22'!$H$27,'OPS Actl 21-22'!$J$27,'OPS Actl 21-22'!$L$27,'OPS Actl 21-22'!$N$27,'OPS Actl 21-22'!$P$27,'OPS Actl 21-22'!$R$27,'OPS Actl 21-22'!$T$27,'OPS Actl 21-22'!$V$27,'OPS Actl 21-22'!$X$27,'OPS Actl 21-22'!$Z$27,'OPS Actl 21-22'!$AB$27,'OPS Actl 21-22'!$AD$27,'OPS Actl 21-22'!$AF$27,'OPS Actl 21-22'!$AH$27</definedName>
    <definedName name="QB_FORMULA_9" localSheetId="10" hidden="1">'2020 Budget'!$L$37,'2020 Budget'!$N$37,'2020 Budget'!$T$37,'2020 Budget'!$Z$37,'2020 Budget'!$AB$37,'2020 Budget'!$AD$37,'2020 Budget'!$L$38,'2020 Budget'!$Z$38,'2020 Budget'!$AB$38,'2020 Budget'!$AD$38,'2020 Budget'!$L$39,'2020 Budget'!$Z$39,'2020 Budget'!$AB$39,'2020 Budget'!$AD$39,'2020 Budget'!$L$40,'2020 Budget'!$Z$40</definedName>
    <definedName name="QB_FORMULA_9" localSheetId="11" hidden="1">'2021 Budget'!$AD$38,'2021 Budget'!$H$39,'2021 Budget'!$J$39,'2021 Budget'!$L$39,'2021 Budget'!$N$39,'2021 Budget'!$T$39,'2021 Budget'!$V$39,'2021 Budget'!$X$39,'2021 Budget'!$Z$39,'2021 Budget'!$AB$39,'2021 Budget'!$AD$39,'2021 Budget'!$L$41,'2021 Budget'!$Z$41,'2021 Budget'!$AB$41,'2021 Budget'!$AD$41,'2021 Budget'!$L$42</definedName>
    <definedName name="QB_FORMULA_9" localSheetId="12" hidden="1">'2022 Forecast Fix'!$M$41,'2022 Forecast Fix'!#REF!,'2022 Forecast Fix'!#REF!,'2022 Forecast Fix'!#REF!,'2022 Forecast Fix'!$H$42,'2022 Forecast Fix'!$L$42,'2022 Forecast Fix'!$M$42,'2022 Forecast Fix'!#REF!,'2022 Forecast Fix'!#REF!,'2022 Forecast Fix'!#REF!,'2022 Forecast Fix'!#REF!,'2022 Forecast Fix'!#REF!,'2022 Forecast Fix'!$M$43,'2022 Forecast Fix'!#REF!,'2022 Forecast Fix'!#REF!,'2022 Forecast Fix'!#REF!</definedName>
    <definedName name="QB_FORMULA_9" localSheetId="13" hidden="1">'2022 Forecast Worksheet'!#REF!,'2022 Forecast Worksheet'!$H$28,'2022 Forecast Worksheet'!$L$28,'2022 Forecast Worksheet'!$P$28,'2022 Forecast Worksheet'!$T$28,'2022 Forecast Worksheet'!$X$28,'2022 Forecast Worksheet'!$AB$28,'2022 Forecast Worksheet'!#REF!,'2022 Forecast Worksheet'!#REF!,'2022 Forecast Worksheet'!#REF!,'2022 Forecast Worksheet'!#REF!,'2022 Forecast Worksheet'!#REF!,'2022 Forecast Worksheet'!#REF!,'2022 Forecast Worksheet'!$I$28,'2022 Forecast Worksheet'!$M$28,'2022 Forecast Worksheet'!$Q$28</definedName>
    <definedName name="QB_FORMULA_9" localSheetId="5" hidden="1">'2023 Ops Budget'!$T$27,'2023 Ops Budget'!#REF!,'2023 Ops Budget'!#REF!,'2023 Ops Budget'!#REF!,'2023 Ops Budget'!$J$28,'2023 Ops Budget'!$N$28,'2023 Ops Budget'!$T$28,'2023 Ops Budget'!#REF!,'2023 Ops Budget'!#REF!,'2023 Ops Budget'!#REF!,'2023 Ops Budget'!#REF!,'2023 Ops Budget'!#REF!,'2023 Ops Budget'!#REF!,'2023 Ops Budget'!#REF!,'2023 Ops Budget'!#REF!,'2023 Ops Budget'!#REF!</definedName>
    <definedName name="QB_FORMULA_9" localSheetId="4" hidden="1">'CAP IMPROVE Actl 2019-2022'!$Z$22,'CAP IMPROVE Actl 2019-2022'!$AB$22,'CAP IMPROVE Actl 2019-2022'!$AD$22,'CAP IMPROVE Actl 2019-2022'!$AF$22,'CAP IMPROVE Actl 2019-2022'!$AH$22,'CAP IMPROVE Actl 2019-2022'!$AJ$22,'CAP IMPROVE Actl 2019-2022'!$AL$22,'CAP IMPROVE Actl 2019-2022'!$AN$22,'CAP IMPROVE Actl 2019-2022'!$AP$22,'CAP IMPROVE Actl 2019-2022'!$AR$22,'CAP IMPROVE Actl 2019-2022'!$AT$22,'CAP IMPROVE Actl 2019-2022'!$AV$22,'CAP IMPROVE Actl 2019-2022'!$AX$22,'CAP IMPROVE Actl 2019-2022'!$AZ$22,'CAP IMPROVE Actl 2019-2022'!$BB$22,'CAP IMPROVE Actl 2019-2022'!$BD$22</definedName>
    <definedName name="QB_FORMULA_9" localSheetId="7" hidden="1">'Monthly Act Capital funds 2022'!$V$45,'Monthly Act Capital funds 2022'!$X$45,'Monthly Act Capital funds 2022'!$AF$45,'Monthly Act Capital funds 2022'!$AF$48,'Monthly Act Capital funds 2022'!$H$49,'Monthly Act Capital funds 2022'!$J$49,'Monthly Act Capital funds 2022'!$L$49,'Monthly Act Capital funds 2022'!$N$49,'Monthly Act Capital funds 2022'!$P$49,'Monthly Act Capital funds 2022'!$R$49,'Monthly Act Capital funds 2022'!$T$49,'Monthly Act Capital funds 2022'!$V$49,'Monthly Act Capital funds 2022'!$X$49,'Monthly Act Capital funds 2022'!$AF$49,'Monthly Act Capital funds 2022'!$H$50,'Monthly Act Capital funds 2022'!$J$50</definedName>
    <definedName name="QB_FORMULA_9" localSheetId="8" hidden="1">'OPS Actl 2019-2022'!$R$28,'OPS Actl 2019-2022'!$T$28,'OPS Actl 2019-2022'!$V$28,'OPS Actl 2019-2022'!$X$28,'OPS Actl 2019-2022'!$Z$28,'OPS Actl 2019-2022'!$AB$28,'OPS Actl 2019-2022'!$AD$28,'OPS Actl 2019-2022'!$AF$28,'OPS Actl 2019-2022'!$AH$28,'OPS Actl 2019-2022'!$AJ$28,'OPS Actl 2019-2022'!$AL$28,'OPS Actl 2019-2022'!$AN$28,'OPS Actl 2019-2022'!$AP$28,'OPS Actl 2019-2022'!$AR$28,'OPS Actl 2019-2022'!$AT$28,'OPS Actl 2019-2022'!$AV$28</definedName>
    <definedName name="QB_FORMULA_9" localSheetId="9" hidden="1">'OPS Actl 21-22'!$AJ$27,'OPS Actl 21-22'!$AL$27,'OPS Actl 21-22'!$AN$27,'OPS Actl 21-22'!$AP$27,'OPS Actl 21-22'!$AR$27,'OPS Actl 21-22'!$AT$27,'OPS Actl 21-22'!$AV$27,'OPS Actl 21-22'!$AX$27,'OPS Actl 21-22'!$AZ$27,'OPS Actl 21-22'!$BB$27,'OPS Actl 21-22'!$BD$27,'OPS Actl 21-22'!$BF$27,'OPS Actl 21-22'!$BD$29,'OPS Actl 21-22'!$BF$29,'OPS Actl 21-22'!$BD$30,'OPS Actl 21-22'!$BF$30</definedName>
    <definedName name="QB_ROW_100250" localSheetId="10" hidden="1">'2020 Budget'!$F$8</definedName>
    <definedName name="QB_ROW_100250" localSheetId="11" hidden="1">'2021 Budget'!$F$8</definedName>
    <definedName name="QB_ROW_100250" localSheetId="12" hidden="1">'2022 Forecast Fix'!$F$8</definedName>
    <definedName name="QB_ROW_100250" localSheetId="13" hidden="1">'2022 Forecast Worksheet'!$F$7</definedName>
    <definedName name="QB_ROW_100250" localSheetId="5" hidden="1">'2023 Ops Budget'!$F$8</definedName>
    <definedName name="QB_ROW_100250" localSheetId="8" hidden="1">'OPS Actl 2019-2022'!$F$7</definedName>
    <definedName name="QB_ROW_100250" localSheetId="9" hidden="1">'OPS Actl 21-22'!$F$8</definedName>
    <definedName name="QB_ROW_102250" localSheetId="11" hidden="1">'2021 Budget'!$F$17</definedName>
    <definedName name="QB_ROW_102250" localSheetId="12" hidden="1">'2022 Forecast Fix'!$F$17</definedName>
    <definedName name="QB_ROW_102250" localSheetId="4" hidden="1">'CAP IMPROVE Actl 2019-2022'!$F$14</definedName>
    <definedName name="QB_ROW_102250" localSheetId="7" hidden="1">'Monthly Act Capital funds 2022'!$F$14</definedName>
    <definedName name="QB_ROW_106040" localSheetId="11" hidden="1">'2021 Budget'!$E$16</definedName>
    <definedName name="QB_ROW_106040" localSheetId="12" hidden="1">'2022 Forecast Fix'!$E$16</definedName>
    <definedName name="QB_ROW_106040" localSheetId="4" hidden="1">'CAP IMPROVE Actl 2019-2022'!$E$13</definedName>
    <definedName name="QB_ROW_106040" localSheetId="7" hidden="1">'Monthly Act Capital funds 2022'!$E$13</definedName>
    <definedName name="QB_ROW_106250" localSheetId="11" hidden="1">'2021 Budget'!$F$19</definedName>
    <definedName name="QB_ROW_106250" localSheetId="12" hidden="1">'2022 Forecast Fix'!$F$19</definedName>
    <definedName name="QB_ROW_106250" localSheetId="4" hidden="1">'CAP IMPROVE Actl 2019-2022'!$F$16</definedName>
    <definedName name="QB_ROW_106250" localSheetId="7" hidden="1">'Monthly Act Capital funds 2022'!$F$16</definedName>
    <definedName name="QB_ROW_106340" localSheetId="11" hidden="1">'2021 Budget'!$E$20</definedName>
    <definedName name="QB_ROW_106340" localSheetId="12" hidden="1">'2022 Forecast Fix'!$E$20</definedName>
    <definedName name="QB_ROW_106340" localSheetId="6" hidden="1">'2023 Capital DRAFT Budget'!$D$9</definedName>
    <definedName name="QB_ROW_106340" localSheetId="3" hidden="1">'2024 Capital DRAFT Budget'!$D$9</definedName>
    <definedName name="QB_ROW_106340" localSheetId="4" hidden="1">'CAP IMPROVE Actl 2019-2022'!$E$17</definedName>
    <definedName name="QB_ROW_106340" localSheetId="7" hidden="1">'Monthly Act Capital funds 2022'!$E$17</definedName>
    <definedName name="QB_ROW_109040" localSheetId="10" hidden="1">'2020 Budget'!$E$13</definedName>
    <definedName name="QB_ROW_109040" localSheetId="11" hidden="1">'2021 Budget'!$E$12</definedName>
    <definedName name="QB_ROW_109040" localSheetId="12" hidden="1">'2022 Forecast Fix'!$E$12</definedName>
    <definedName name="QB_ROW_109040" localSheetId="4" hidden="1">'CAP IMPROVE Actl 2019-2022'!$E$9</definedName>
    <definedName name="QB_ROW_109040" localSheetId="7" hidden="1">'Monthly Act Capital funds 2022'!$E$9</definedName>
    <definedName name="QB_ROW_109340" localSheetId="10" hidden="1">'2020 Budget'!$E$16</definedName>
    <definedName name="QB_ROW_109340" localSheetId="11" hidden="1">'2021 Budget'!$E$15</definedName>
    <definedName name="QB_ROW_109340" localSheetId="12" hidden="1">'2022 Forecast Fix'!$E$15</definedName>
    <definedName name="QB_ROW_109340" localSheetId="6" hidden="1">'2023 Capital DRAFT Budget'!$D$8</definedName>
    <definedName name="QB_ROW_109340" localSheetId="3" hidden="1">'2024 Capital DRAFT Budget'!$D$8</definedName>
    <definedName name="QB_ROW_109340" localSheetId="4" hidden="1">'CAP IMPROVE Actl 2019-2022'!$E$12</definedName>
    <definedName name="QB_ROW_109340" localSheetId="7" hidden="1">'Monthly Act Capital funds 2022'!$E$12</definedName>
    <definedName name="QB_ROW_110250" localSheetId="11" hidden="1">'2021 Budget'!$F$18</definedName>
    <definedName name="QB_ROW_110250" localSheetId="12" hidden="1">'2022 Forecast Fix'!$F$18</definedName>
    <definedName name="QB_ROW_110250" localSheetId="4" hidden="1">'CAP IMPROVE Actl 2019-2022'!$F$15</definedName>
    <definedName name="QB_ROW_110250" localSheetId="7" hidden="1">'Monthly Act Capital funds 2022'!$F$15</definedName>
    <definedName name="QB_ROW_115250" localSheetId="10" hidden="1">'2020 Budget'!$F$39</definedName>
    <definedName name="QB_ROW_115250" localSheetId="11" hidden="1">'2021 Budget'!$F$46</definedName>
    <definedName name="QB_ROW_115250" localSheetId="12" hidden="1">'2022 Forecast Fix'!$F$44</definedName>
    <definedName name="QB_ROW_115250" localSheetId="13" hidden="1">'2022 Forecast Worksheet'!$F$34</definedName>
    <definedName name="QB_ROW_115250" localSheetId="6" hidden="1">'2023 Capital DRAFT Budget'!#REF!</definedName>
    <definedName name="QB_ROW_115250" localSheetId="5" hidden="1">'2023 Ops Budget'!$F$31</definedName>
    <definedName name="QB_ROW_115250" localSheetId="3" hidden="1">'2024 Capital DRAFT Budget'!#REF!</definedName>
    <definedName name="QB_ROW_115250" localSheetId="8" hidden="1">'OPS Actl 2019-2022'!$F$34</definedName>
    <definedName name="QB_ROW_115250" localSheetId="9" hidden="1">'OPS Actl 21-22'!$F$33</definedName>
    <definedName name="QB_ROW_116250" localSheetId="10" hidden="1">'2020 Budget'!$F$40</definedName>
    <definedName name="QB_ROW_116250" localSheetId="11" hidden="1">'2021 Budget'!$F$47</definedName>
    <definedName name="QB_ROW_116250" localSheetId="12" hidden="1">'2022 Forecast Fix'!$F$45</definedName>
    <definedName name="QB_ROW_116250" localSheetId="13" hidden="1">'2022 Forecast Worksheet'!$F$35</definedName>
    <definedName name="QB_ROW_116250" localSheetId="6" hidden="1">'2023 Capital DRAFT Budget'!#REF!</definedName>
    <definedName name="QB_ROW_116250" localSheetId="5" hidden="1">'2023 Ops Budget'!$F$32</definedName>
    <definedName name="QB_ROW_116250" localSheetId="3" hidden="1">'2024 Capital DRAFT Budget'!#REF!</definedName>
    <definedName name="QB_ROW_116250" localSheetId="8" hidden="1">'OPS Actl 2019-2022'!$F$35</definedName>
    <definedName name="QB_ROW_116250" localSheetId="9" hidden="1">'OPS Actl 21-22'!$F$34</definedName>
    <definedName name="QB_ROW_121260" localSheetId="10" hidden="1">'2020 Budget'!$G$35</definedName>
    <definedName name="QB_ROW_121260" localSheetId="11" hidden="1">'2021 Budget'!$G$41</definedName>
    <definedName name="QB_ROW_121260" localSheetId="12" hidden="1">'2022 Forecast Fix'!$G$40</definedName>
    <definedName name="QB_ROW_121260" localSheetId="13" hidden="1">'2022 Forecast Worksheet'!$G$30</definedName>
    <definedName name="QB_ROW_121260" localSheetId="5" hidden="1">'2023 Ops Budget'!$G$27</definedName>
    <definedName name="QB_ROW_121260" localSheetId="8" hidden="1">'OPS Actl 2019-2022'!$G$30</definedName>
    <definedName name="QB_ROW_121260" localSheetId="9" hidden="1">'OPS Actl 21-22'!$G$29</definedName>
    <definedName name="QB_ROW_122260" localSheetId="10" hidden="1">'2020 Budget'!$G$32</definedName>
    <definedName name="QB_ROW_122260" localSheetId="11" hidden="1">'2021 Budget'!$G$37</definedName>
    <definedName name="QB_ROW_122260" localSheetId="12" hidden="1">'2022 Forecast Fix'!$G$37</definedName>
    <definedName name="QB_ROW_122260" localSheetId="13" hidden="1">'2022 Forecast Worksheet'!$G$27</definedName>
    <definedName name="QB_ROW_122260" localSheetId="6" hidden="1">'2023 Capital DRAFT Budget'!$D$16</definedName>
    <definedName name="QB_ROW_122260" localSheetId="5" hidden="1">'2023 Ops Budget'!$G$24</definedName>
    <definedName name="QB_ROW_122260" localSheetId="3" hidden="1">'2024 Capital DRAFT Budget'!$D$16</definedName>
    <definedName name="QB_ROW_122260" localSheetId="4" hidden="1">'CAP IMPROVE Actl 2019-2022'!$G$27</definedName>
    <definedName name="QB_ROW_122260" localSheetId="7" hidden="1">'Monthly Act Capital funds 2022'!$G$25</definedName>
    <definedName name="QB_ROW_122260" localSheetId="8" hidden="1">'OPS Actl 2019-2022'!$G$27</definedName>
    <definedName name="QB_ROW_122260" localSheetId="9" hidden="1">'OPS Actl 21-22'!$G$26</definedName>
    <definedName name="QB_ROW_123240" localSheetId="10" hidden="1">'2020 Budget'!$E$67</definedName>
    <definedName name="QB_ROW_123240" localSheetId="11" hidden="1">'2021 Budget'!$E$74</definedName>
    <definedName name="QB_ROW_123240" localSheetId="12" hidden="1">'2022 Forecast Fix'!$E$73</definedName>
    <definedName name="QB_ROW_123240" localSheetId="6" hidden="1">'2023 Capital DRAFT Budget'!$D$17</definedName>
    <definedName name="QB_ROW_123240" localSheetId="3" hidden="1">'2024 Capital DRAFT Budget'!$D$17</definedName>
    <definedName name="QB_ROW_123240" localSheetId="4" hidden="1">'CAP IMPROVE Actl 2019-2022'!$E$30</definedName>
    <definedName name="QB_ROW_123240" localSheetId="7" hidden="1">'Monthly Act Capital funds 2022'!$E$28</definedName>
    <definedName name="QB_ROW_125260" localSheetId="10" hidden="1">'2020 Budget'!$G$31</definedName>
    <definedName name="QB_ROW_125260" localSheetId="11" hidden="1">'2021 Budget'!$G$36</definedName>
    <definedName name="QB_ROW_125260" localSheetId="12" hidden="1">'2022 Forecast Fix'!$G$36</definedName>
    <definedName name="QB_ROW_125260" localSheetId="13" hidden="1">'2022 Forecast Worksheet'!$G$26</definedName>
    <definedName name="QB_ROW_125260" localSheetId="6" hidden="1">'2023 Capital DRAFT Budget'!$D$15</definedName>
    <definedName name="QB_ROW_125260" localSheetId="5" hidden="1">'2023 Ops Budget'!$G$23</definedName>
    <definedName name="QB_ROW_125260" localSheetId="3" hidden="1">'2024 Capital DRAFT Budget'!$D$15</definedName>
    <definedName name="QB_ROW_125260" localSheetId="4" hidden="1">'CAP IMPROVE Actl 2019-2022'!$G$26</definedName>
    <definedName name="QB_ROW_125260" localSheetId="8" hidden="1">'OPS Actl 2019-2022'!$G$26</definedName>
    <definedName name="QB_ROW_125260" localSheetId="9" hidden="1">'OPS Actl 21-22'!$G$25</definedName>
    <definedName name="QB_ROW_130240" localSheetId="6" hidden="1">'2023 Capital DRAFT Budget'!#REF!</definedName>
    <definedName name="QB_ROW_130240" localSheetId="3" hidden="1">'2024 Capital DRAFT Budget'!#REF!</definedName>
    <definedName name="QB_ROW_142250" localSheetId="10" hidden="1">'2020 Budget'!$F$6</definedName>
    <definedName name="QB_ROW_142250" localSheetId="11" hidden="1">'2021 Budget'!$F$6</definedName>
    <definedName name="QB_ROW_142250" localSheetId="12" hidden="1">'2022 Forecast Fix'!$F$6</definedName>
    <definedName name="QB_ROW_142250" localSheetId="13" hidden="1">'2022 Forecast Worksheet'!$F$5</definedName>
    <definedName name="QB_ROW_142250" localSheetId="5" hidden="1">'2023 Ops Budget'!$F$6</definedName>
    <definedName name="QB_ROW_142250" localSheetId="4" hidden="1">'CAP IMPROVE Actl 2019-2022'!$F$5</definedName>
    <definedName name="QB_ROW_142250" localSheetId="7" hidden="1">'Monthly Act Capital funds 2022'!$F$5</definedName>
    <definedName name="QB_ROW_142250" localSheetId="8" hidden="1">'OPS Actl 2019-2022'!$F$5</definedName>
    <definedName name="QB_ROW_142250" localSheetId="9" hidden="1">'OPS Actl 21-22'!$F$6</definedName>
    <definedName name="QB_ROW_143250" localSheetId="10" hidden="1">'2020 Budget'!$F$7</definedName>
    <definedName name="QB_ROW_143250" localSheetId="11" hidden="1">'2021 Budget'!$F$7</definedName>
    <definedName name="QB_ROW_143250" localSheetId="12" hidden="1">'2022 Forecast Fix'!$F$7</definedName>
    <definedName name="QB_ROW_143250" localSheetId="13" hidden="1">'2022 Forecast Worksheet'!$F$6</definedName>
    <definedName name="QB_ROW_143250" localSheetId="5" hidden="1">'2023 Ops Budget'!$F$7</definedName>
    <definedName name="QB_ROW_143250" localSheetId="8" hidden="1">'OPS Actl 2019-2022'!$F$6</definedName>
    <definedName name="QB_ROW_143250" localSheetId="9" hidden="1">'OPS Actl 21-22'!$F$7</definedName>
    <definedName name="QB_ROW_144250" localSheetId="10" hidden="1">'2020 Budget'!$F$15</definedName>
    <definedName name="QB_ROW_144250" localSheetId="11" hidden="1">'2021 Budget'!$F$14</definedName>
    <definedName name="QB_ROW_144250" localSheetId="12" hidden="1">'2022 Forecast Fix'!$F$14</definedName>
    <definedName name="QB_ROW_144250" localSheetId="4" hidden="1">'CAP IMPROVE Actl 2019-2022'!$F$11</definedName>
    <definedName name="QB_ROW_144250" localSheetId="7" hidden="1">'Monthly Act Capital funds 2022'!$F$11</definedName>
    <definedName name="QB_ROW_145250" localSheetId="10" hidden="1">'2020 Budget'!$F$14</definedName>
    <definedName name="QB_ROW_145250" localSheetId="11" hidden="1">'2021 Budget'!$F$13</definedName>
    <definedName name="QB_ROW_145250" localSheetId="12" hidden="1">'2022 Forecast Fix'!$F$13</definedName>
    <definedName name="QB_ROW_145250" localSheetId="4" hidden="1">'CAP IMPROVE Actl 2019-2022'!$F$10</definedName>
    <definedName name="QB_ROW_145250" localSheetId="7" hidden="1">'Monthly Act Capital funds 2022'!$F$10</definedName>
    <definedName name="QB_ROW_148250" localSheetId="10" hidden="1">'2020 Budget'!$F$10</definedName>
    <definedName name="QB_ROW_148250" localSheetId="11" hidden="1">'2021 Budget'!$F$9</definedName>
    <definedName name="QB_ROW_148250" localSheetId="12" hidden="1">'2022 Forecast Fix'!$F$9</definedName>
    <definedName name="QB_ROW_148250" localSheetId="13" hidden="1">'2022 Forecast Worksheet'!$F$9</definedName>
    <definedName name="QB_ROW_148250" localSheetId="5" hidden="1">'2023 Ops Budget'!$F$10</definedName>
    <definedName name="QB_ROW_148250" localSheetId="4" hidden="1">'CAP IMPROVE Actl 2019-2022'!$F$6</definedName>
    <definedName name="QB_ROW_148250" localSheetId="7" hidden="1">'Monthly Act Capital funds 2022'!$F$6</definedName>
    <definedName name="QB_ROW_148250" localSheetId="8" hidden="1">'OPS Actl 2019-2022'!$F$9</definedName>
    <definedName name="QB_ROW_148250" localSheetId="9" hidden="1">'OPS Actl 21-22'!$F$9</definedName>
    <definedName name="QB_ROW_149250" localSheetId="10" hidden="1">'2020 Budget'!$F$11</definedName>
    <definedName name="QB_ROW_149250" localSheetId="11" hidden="1">'2021 Budget'!$F$10</definedName>
    <definedName name="QB_ROW_149250" localSheetId="12" hidden="1">'2022 Forecast Fix'!$F$10</definedName>
    <definedName name="QB_ROW_149250" localSheetId="4" hidden="1">'CAP IMPROVE Actl 2019-2022'!$F$7</definedName>
    <definedName name="QB_ROW_149250" localSheetId="7" hidden="1">'Monthly Act Capital funds 2022'!$F$7</definedName>
    <definedName name="QB_ROW_174240" localSheetId="10" hidden="1">'2020 Budget'!$E$17</definedName>
    <definedName name="QB_ROW_174240" localSheetId="11" hidden="1">'2021 Budget'!$E$21</definedName>
    <definedName name="QB_ROW_174240" localSheetId="12" hidden="1">'2022 Forecast Fix'!$E$21</definedName>
    <definedName name="QB_ROW_174240" localSheetId="13" hidden="1">'2022 Forecast Worksheet'!$E$11</definedName>
    <definedName name="QB_ROW_174240" localSheetId="6" hidden="1">'2023 Capital DRAFT Budget'!#REF!</definedName>
    <definedName name="QB_ROW_174240" localSheetId="5" hidden="1">'2023 Ops Budget'!$E$12</definedName>
    <definedName name="QB_ROW_174240" localSheetId="3" hidden="1">'2024 Capital DRAFT Budget'!#REF!</definedName>
    <definedName name="QB_ROW_174240" localSheetId="8" hidden="1">'OPS Actl 2019-2022'!$E$11</definedName>
    <definedName name="QB_ROW_174240" localSheetId="9" hidden="1">'OPS Actl 21-22'!$E$11</definedName>
    <definedName name="QB_ROW_181260" localSheetId="10" hidden="1">'2020 Budget'!$G$42</definedName>
    <definedName name="QB_ROW_181260" localSheetId="11" hidden="1">'2021 Budget'!$G$49</definedName>
    <definedName name="QB_ROW_181260" localSheetId="12" hidden="1">'2022 Forecast Fix'!$G$47</definedName>
    <definedName name="QB_ROW_181260" localSheetId="13" hidden="1">'2022 Forecast Worksheet'!$G$37</definedName>
    <definedName name="QB_ROW_181260" localSheetId="8" hidden="1">'OPS Actl 2019-2022'!$G$37</definedName>
    <definedName name="QB_ROW_181260" localSheetId="9" hidden="1">'OPS Actl 21-22'!$G$36</definedName>
    <definedName name="QB_ROW_182250" localSheetId="10" hidden="1">'2020 Budget'!$F$19</definedName>
    <definedName name="QB_ROW_182250" localSheetId="11" hidden="1">'2021 Budget'!$F$24</definedName>
    <definedName name="QB_ROW_182250" localSheetId="12" hidden="1">'2022 Forecast Fix'!$F$24</definedName>
    <definedName name="QB_ROW_182250" localSheetId="13" hidden="1">'2022 Forecast Worksheet'!$F$14</definedName>
    <definedName name="QB_ROW_182250" localSheetId="5" hidden="1">'2023 Ops Budget'!$F$15</definedName>
    <definedName name="QB_ROW_182250" localSheetId="8" hidden="1">'OPS Actl 2019-2022'!$F$14</definedName>
    <definedName name="QB_ROW_182250" localSheetId="9" hidden="1">'OPS Actl 21-22'!$F$14</definedName>
    <definedName name="QB_ROW_18301" localSheetId="10" hidden="1">'2020 Budget'!$A$81</definedName>
    <definedName name="QB_ROW_18301" localSheetId="11" hidden="1">'2021 Budget'!$A$88</definedName>
    <definedName name="QB_ROW_18301" localSheetId="12" hidden="1">'2022 Forecast Fix'!$A$85</definedName>
    <definedName name="QB_ROW_18301" localSheetId="13" hidden="1">'2022 Forecast Worksheet'!$A$64</definedName>
    <definedName name="QB_ROW_18301" localSheetId="6" hidden="1">'2023 Capital DRAFT Budget'!#REF!</definedName>
    <definedName name="QB_ROW_18301" localSheetId="5" hidden="1">'2023 Ops Budget'!$B$61</definedName>
    <definedName name="QB_ROW_18301" localSheetId="3" hidden="1">'2024 Capital DRAFT Budget'!#REF!</definedName>
    <definedName name="QB_ROW_18301" localSheetId="4" hidden="1">'CAP IMPROVE Actl 2019-2022'!$A$42</definedName>
    <definedName name="QB_ROW_18301" localSheetId="7" hidden="1">'Monthly Act Capital funds 2022'!$A$51</definedName>
    <definedName name="QB_ROW_18301" localSheetId="8" hidden="1">'OPS Actl 2019-2022'!$A$63</definedName>
    <definedName name="QB_ROW_18301" localSheetId="9" hidden="1">'OPS Actl 21-22'!$A$62</definedName>
    <definedName name="QB_ROW_183040" localSheetId="10" hidden="1">'2020 Budget'!$E$18</definedName>
    <definedName name="QB_ROW_183040" localSheetId="11" hidden="1">'2021 Budget'!$E$22</definedName>
    <definedName name="QB_ROW_183040" localSheetId="12" hidden="1">'2022 Forecast Fix'!$E$22</definedName>
    <definedName name="QB_ROW_183040" localSheetId="13" hidden="1">'2022 Forecast Worksheet'!$E$12</definedName>
    <definedName name="QB_ROW_183040" localSheetId="5" hidden="1">'2023 Ops Budget'!$E$13</definedName>
    <definedName name="QB_ROW_183040" localSheetId="8" hidden="1">'OPS Actl 2019-2022'!$E$12</definedName>
    <definedName name="QB_ROW_183040" localSheetId="9" hidden="1">'OPS Actl 21-22'!$E$12</definedName>
    <definedName name="QB_ROW_183250" localSheetId="10" hidden="1">'2020 Budget'!$F$20</definedName>
    <definedName name="QB_ROW_183250" localSheetId="11" hidden="1">'2021 Budget'!$F$25</definedName>
    <definedName name="QB_ROW_183250" localSheetId="13" hidden="1">'2022 Forecast Worksheet'!$F$15</definedName>
    <definedName name="QB_ROW_183250" localSheetId="5" hidden="1">'2023 Ops Budget'!#REF!</definedName>
    <definedName name="QB_ROW_183250" localSheetId="8" hidden="1">'OPS Actl 2019-2022'!$F$15</definedName>
    <definedName name="QB_ROW_183340" localSheetId="10" hidden="1">'2020 Budget'!$E$21</definedName>
    <definedName name="QB_ROW_183340" localSheetId="11" hidden="1">'2021 Budget'!$E$26</definedName>
    <definedName name="QB_ROW_183340" localSheetId="12" hidden="1">'2022 Forecast Fix'!$E$26</definedName>
    <definedName name="QB_ROW_183340" localSheetId="13" hidden="1">'2022 Forecast Worksheet'!$E$16</definedName>
    <definedName name="QB_ROW_183340" localSheetId="6" hidden="1">'2023 Capital DRAFT Budget'!#REF!</definedName>
    <definedName name="QB_ROW_183340" localSheetId="5" hidden="1">'2023 Ops Budget'!#REF!</definedName>
    <definedName name="QB_ROW_183340" localSheetId="3" hidden="1">'2024 Capital DRAFT Budget'!#REF!</definedName>
    <definedName name="QB_ROW_183340" localSheetId="4" hidden="1">'CAP IMPROVE Actl 2019-2022'!$E$18</definedName>
    <definedName name="QB_ROW_183340" localSheetId="7" hidden="1">'Monthly Act Capital funds 2022'!$E$18</definedName>
    <definedName name="QB_ROW_183340" localSheetId="8" hidden="1">'OPS Actl 2019-2022'!$E$16</definedName>
    <definedName name="QB_ROW_183340" localSheetId="9" hidden="1">'OPS Actl 21-22'!$E$15</definedName>
    <definedName name="QB_ROW_186340" localSheetId="10" hidden="1">'2020 Budget'!$E$26</definedName>
    <definedName name="QB_ROW_186340" localSheetId="11" hidden="1">'2021 Budget'!$E$31</definedName>
    <definedName name="QB_ROW_186340" localSheetId="12" hidden="1">'2022 Forecast Fix'!$E$31</definedName>
    <definedName name="QB_ROW_186340" localSheetId="13" hidden="1">'2022 Forecast Worksheet'!$E$21</definedName>
    <definedName name="QB_ROW_186340" localSheetId="6" hidden="1">'2023 Capital DRAFT Budget'!#REF!</definedName>
    <definedName name="QB_ROW_186340" localSheetId="5" hidden="1">'2023 Ops Budget'!$E$18</definedName>
    <definedName name="QB_ROW_186340" localSheetId="3" hidden="1">'2024 Capital DRAFT Budget'!#REF!</definedName>
    <definedName name="QB_ROW_186340" localSheetId="8" hidden="1">'OPS Actl 2019-2022'!$E$21</definedName>
    <definedName name="QB_ROW_186340" localSheetId="9" hidden="1">'OPS Actl 21-22'!$E$20</definedName>
    <definedName name="QB_ROW_189050" localSheetId="10" hidden="1">'2020 Budget'!$F$34</definedName>
    <definedName name="QB_ROW_189050" localSheetId="11" hidden="1">'2021 Budget'!$F$40</definedName>
    <definedName name="QB_ROW_189050" localSheetId="12" hidden="1">'2022 Forecast Fix'!$F$39</definedName>
    <definedName name="QB_ROW_189050" localSheetId="13" hidden="1">'2022 Forecast Worksheet'!$F$29</definedName>
    <definedName name="QB_ROW_189050" localSheetId="5" hidden="1">'2023 Ops Budget'!$F$26</definedName>
    <definedName name="QB_ROW_189050" localSheetId="8" hidden="1">'OPS Actl 2019-2022'!$F$29</definedName>
    <definedName name="QB_ROW_189050" localSheetId="9" hidden="1">'OPS Actl 21-22'!$F$28</definedName>
    <definedName name="QB_ROW_189260" localSheetId="11" hidden="1">'2021 Budget'!$G$43</definedName>
    <definedName name="QB_ROW_189260" localSheetId="5" hidden="1">'2023 Ops Budget'!#REF!</definedName>
    <definedName name="QB_ROW_189350" localSheetId="10" hidden="1">'2020 Budget'!$F$37</definedName>
    <definedName name="QB_ROW_189350" localSheetId="11" hidden="1">'2021 Budget'!$F$44</definedName>
    <definedName name="QB_ROW_189350" localSheetId="12" hidden="1">'2022 Forecast Fix'!$F$42</definedName>
    <definedName name="QB_ROW_189350" localSheetId="13" hidden="1">'2022 Forecast Worksheet'!$F$32</definedName>
    <definedName name="QB_ROW_189350" localSheetId="6" hidden="1">'2023 Capital DRAFT Budget'!#REF!</definedName>
    <definedName name="QB_ROW_189350" localSheetId="5" hidden="1">'2023 Ops Budget'!$F$29</definedName>
    <definedName name="QB_ROW_189350" localSheetId="3" hidden="1">'2024 Capital DRAFT Budget'!#REF!</definedName>
    <definedName name="QB_ROW_189350" localSheetId="8" hidden="1">'OPS Actl 2019-2022'!$F$32</definedName>
    <definedName name="QB_ROW_189350" localSheetId="9" hidden="1">'OPS Actl 21-22'!$F$31</definedName>
    <definedName name="QB_ROW_19011" localSheetId="10" hidden="1">'2020 Budget'!$B$3</definedName>
    <definedName name="QB_ROW_19011" localSheetId="11" hidden="1">'2021 Budget'!$B$3</definedName>
    <definedName name="QB_ROW_19011" localSheetId="12" hidden="1">'2022 Forecast Fix'!$B$3</definedName>
    <definedName name="QB_ROW_19011" localSheetId="13" hidden="1">'2022 Forecast Worksheet'!$B$2</definedName>
    <definedName name="QB_ROW_19011" localSheetId="6" hidden="1">'2023 Capital DRAFT Budget'!$C$6</definedName>
    <definedName name="QB_ROW_19011" localSheetId="5" hidden="1">'2023 Ops Budget'!#REF!</definedName>
    <definedName name="QB_ROW_19011" localSheetId="3" hidden="1">'2024 Capital DRAFT Budget'!$C$6</definedName>
    <definedName name="QB_ROW_19011" localSheetId="4" hidden="1">'CAP IMPROVE Actl 2019-2022'!$B$2</definedName>
    <definedName name="QB_ROW_19011" localSheetId="7" hidden="1">'Monthly Act Capital funds 2022'!$B$2</definedName>
    <definedName name="QB_ROW_19011" localSheetId="8" hidden="1">'OPS Actl 2019-2022'!$B$2</definedName>
    <definedName name="QB_ROW_19011" localSheetId="9" hidden="1">'OPS Actl 21-22'!$B$3</definedName>
    <definedName name="QB_ROW_191230" localSheetId="7" hidden="1">'Monthly Act Capital funds 2022'!$D$48</definedName>
    <definedName name="QB_ROW_192050" localSheetId="10" hidden="1">'2020 Budget'!$F$41</definedName>
    <definedName name="QB_ROW_192050" localSheetId="11" hidden="1">'2021 Budget'!$F$48</definedName>
    <definedName name="QB_ROW_192050" localSheetId="12" hidden="1">'2022 Forecast Fix'!$F$46</definedName>
    <definedName name="QB_ROW_192050" localSheetId="13" hidden="1">'2022 Forecast Worksheet'!$F$36</definedName>
    <definedName name="QB_ROW_192050" localSheetId="8" hidden="1">'OPS Actl 2019-2022'!$F$36</definedName>
    <definedName name="QB_ROW_192050" localSheetId="9" hidden="1">'OPS Actl 21-22'!$F$35</definedName>
    <definedName name="QB_ROW_192260" localSheetId="10" hidden="1">'2020 Budget'!$G$43</definedName>
    <definedName name="QB_ROW_192260" localSheetId="12" hidden="1">'2022 Forecast Fix'!$G$48</definedName>
    <definedName name="QB_ROW_192350" localSheetId="10" hidden="1">'2020 Budget'!$F$44</definedName>
    <definedName name="QB_ROW_192350" localSheetId="11" hidden="1">'2021 Budget'!$F$50</definedName>
    <definedName name="QB_ROW_192350" localSheetId="12" hidden="1">'2022 Forecast Fix'!$F$49</definedName>
    <definedName name="QB_ROW_192350" localSheetId="13" hidden="1">'2022 Forecast Worksheet'!$F$38</definedName>
    <definedName name="QB_ROW_192350" localSheetId="6" hidden="1">'2023 Capital DRAFT Budget'!#REF!</definedName>
    <definedName name="QB_ROW_192350" localSheetId="5" hidden="1">'2023 Ops Budget'!$F$33</definedName>
    <definedName name="QB_ROW_192350" localSheetId="3" hidden="1">'2024 Capital DRAFT Budget'!#REF!</definedName>
    <definedName name="QB_ROW_192350" localSheetId="8" hidden="1">'OPS Actl 2019-2022'!$F$38</definedName>
    <definedName name="QB_ROW_192350" localSheetId="9" hidden="1">'OPS Actl 21-22'!$F$37</definedName>
    <definedName name="QB_ROW_19311" localSheetId="10" hidden="1">'2020 Budget'!$B$79</definedName>
    <definedName name="QB_ROW_19311" localSheetId="11" hidden="1">'2021 Budget'!$B$86</definedName>
    <definedName name="QB_ROW_19311" localSheetId="12" hidden="1">'2022 Forecast Fix'!$B$83</definedName>
    <definedName name="QB_ROW_19311" localSheetId="13" hidden="1">'2022 Forecast Worksheet'!$B$62</definedName>
    <definedName name="QB_ROW_19311" localSheetId="6" hidden="1">'2023 Capital DRAFT Budget'!$C$77</definedName>
    <definedName name="QB_ROW_19311" localSheetId="5" hidden="1">'2023 Ops Budget'!$B$59</definedName>
    <definedName name="QB_ROW_19311" localSheetId="3" hidden="1">'2024 Capital DRAFT Budget'!$C$84</definedName>
    <definedName name="QB_ROW_19311" localSheetId="4" hidden="1">'CAP IMPROVE Actl 2019-2022'!$B$41</definedName>
    <definedName name="QB_ROW_19311" localSheetId="7" hidden="1">'Monthly Act Capital funds 2022'!$B$45</definedName>
    <definedName name="QB_ROW_19311" localSheetId="8" hidden="1">'OPS Actl 2019-2022'!$B$61</definedName>
    <definedName name="QB_ROW_19311" localSheetId="9" hidden="1">'OPS Actl 21-22'!$B$60</definedName>
    <definedName name="QB_ROW_193250" localSheetId="10" hidden="1">'2020 Budget'!$F$64</definedName>
    <definedName name="QB_ROW_193250" localSheetId="11" hidden="1">'2021 Budget'!$F$71</definedName>
    <definedName name="QB_ROW_193250" localSheetId="12" hidden="1">'2022 Forecast Fix'!$F$70</definedName>
    <definedName name="QB_ROW_193250" localSheetId="5" hidden="1">'2023 Ops Budget'!$F$55</definedName>
    <definedName name="QB_ROW_196040" localSheetId="10" hidden="1">'2020 Budget'!$E$68</definedName>
    <definedName name="QB_ROW_196040" localSheetId="11" hidden="1">'2021 Budget'!$E$75</definedName>
    <definedName name="QB_ROW_196040" localSheetId="12" hidden="1">'2022 Forecast Fix'!$E$74</definedName>
    <definedName name="QB_ROW_196040" localSheetId="6" hidden="1">'2023 Capital DRAFT Budget'!$D$18</definedName>
    <definedName name="QB_ROW_196040" localSheetId="3" hidden="1">'2024 Capital DRAFT Budget'!$D$18</definedName>
    <definedName name="QB_ROW_196040" localSheetId="4" hidden="1">'CAP IMPROVE Actl 2019-2022'!$E$31</definedName>
    <definedName name="QB_ROW_196040" localSheetId="7" hidden="1">'Monthly Act Capital funds 2022'!$E$29</definedName>
    <definedName name="QB_ROW_196250" localSheetId="6" hidden="1">'2023 Capital DRAFT Budget'!#REF!</definedName>
    <definedName name="QB_ROW_196250" localSheetId="3" hidden="1">'2024 Capital DRAFT Budget'!#REF!</definedName>
    <definedName name="QB_ROW_196340" localSheetId="10" hidden="1">'2020 Budget'!$E$76</definedName>
    <definedName name="QB_ROW_196340" localSheetId="11" hidden="1">'2021 Budget'!$E$82</definedName>
    <definedName name="QB_ROW_196340" localSheetId="12" hidden="1">'2022 Forecast Fix'!$E$79</definedName>
    <definedName name="QB_ROW_196340" localSheetId="6" hidden="1">'2023 Capital DRAFT Budget'!$D$73</definedName>
    <definedName name="QB_ROW_196340" localSheetId="3" hidden="1">'2024 Capital DRAFT Budget'!$D$79</definedName>
    <definedName name="QB_ROW_196340" localSheetId="4" hidden="1">'CAP IMPROVE Actl 2019-2022'!$E$37</definedName>
    <definedName name="QB_ROW_196340" localSheetId="7" hidden="1">'Monthly Act Capital funds 2022'!$E$42</definedName>
    <definedName name="QB_ROW_197050" localSheetId="6" hidden="1">'2023 Capital DRAFT Budget'!$E$19</definedName>
    <definedName name="QB_ROW_197050" localSheetId="3" hidden="1">'2024 Capital DRAFT Budget'!$E$19</definedName>
    <definedName name="QB_ROW_197050" localSheetId="7" hidden="1">'Monthly Act Capital funds 2022'!$F$30</definedName>
    <definedName name="QB_ROW_197260" localSheetId="6" hidden="1">'2023 Capital DRAFT Budget'!#REF!</definedName>
    <definedName name="QB_ROW_197260" localSheetId="3" hidden="1">'2024 Capital DRAFT Budget'!#REF!</definedName>
    <definedName name="QB_ROW_197350" localSheetId="10" hidden="1">'2020 Budget'!$F$71</definedName>
    <definedName name="QB_ROW_197350" localSheetId="11" hidden="1">'2021 Budget'!$F$77</definedName>
    <definedName name="QB_ROW_197350" localSheetId="12" hidden="1">'2022 Forecast Fix'!$F$75</definedName>
    <definedName name="QB_ROW_197350" localSheetId="6" hidden="1">'2023 Capital DRAFT Budget'!$E$22</definedName>
    <definedName name="QB_ROW_197350" localSheetId="3" hidden="1">'2024 Capital DRAFT Budget'!$E$22</definedName>
    <definedName name="QB_ROW_197350" localSheetId="7" hidden="1">'Monthly Act Capital funds 2022'!$F$32</definedName>
    <definedName name="QB_ROW_198260" localSheetId="6" hidden="1">'2023 Capital DRAFT Budget'!$F$20</definedName>
    <definedName name="QB_ROW_198260" localSheetId="3" hidden="1">'2024 Capital DRAFT Budget'!$F$20</definedName>
    <definedName name="QB_ROW_198260" localSheetId="7" hidden="1">'Monthly Act Capital funds 2022'!$G$31</definedName>
    <definedName name="QB_ROW_199260" localSheetId="6" hidden="1">'2023 Capital DRAFT Budget'!$F$21</definedName>
    <definedName name="QB_ROW_199260" localSheetId="3" hidden="1">'2024 Capital DRAFT Budget'!$F$21</definedName>
    <definedName name="QB_ROW_200050" localSheetId="6" hidden="1">'2023 Capital DRAFT Budget'!#REF!</definedName>
    <definedName name="QB_ROW_200050" localSheetId="3" hidden="1">'2024 Capital DRAFT Budget'!#REF!</definedName>
    <definedName name="QB_ROW_200260" localSheetId="6" hidden="1">'2023 Capital DRAFT Budget'!#REF!</definedName>
    <definedName name="QB_ROW_200260" localSheetId="3" hidden="1">'2024 Capital DRAFT Budget'!#REF!</definedName>
    <definedName name="QB_ROW_20031" localSheetId="10" hidden="1">'2020 Budget'!$D$4</definedName>
    <definedName name="QB_ROW_20031" localSheetId="11" hidden="1">'2021 Budget'!$D$4</definedName>
    <definedName name="QB_ROW_20031" localSheetId="12" hidden="1">'2022 Forecast Fix'!$D$4</definedName>
    <definedName name="QB_ROW_20031" localSheetId="13" hidden="1">'2022 Forecast Worksheet'!$D$3</definedName>
    <definedName name="QB_ROW_20031" localSheetId="6" hidden="1">'2023 Capital DRAFT Budget'!#REF!</definedName>
    <definedName name="QB_ROW_20031" localSheetId="5" hidden="1">'2023 Ops Budget'!$D$4</definedName>
    <definedName name="QB_ROW_20031" localSheetId="3" hidden="1">'2024 Capital DRAFT Budget'!#REF!</definedName>
    <definedName name="QB_ROW_20031" localSheetId="4" hidden="1">'CAP IMPROVE Actl 2019-2022'!$D$3</definedName>
    <definedName name="QB_ROW_20031" localSheetId="7" hidden="1">'Monthly Act Capital funds 2022'!$D$3</definedName>
    <definedName name="QB_ROW_20031" localSheetId="8" hidden="1">'OPS Actl 2019-2022'!$D$3</definedName>
    <definedName name="QB_ROW_20031" localSheetId="9" hidden="1">'OPS Actl 21-22'!$D$4</definedName>
    <definedName name="QB_ROW_200350" localSheetId="6" hidden="1">'2023 Capital DRAFT Budget'!#REF!</definedName>
    <definedName name="QB_ROW_200350" localSheetId="3" hidden="1">'2024 Capital DRAFT Budget'!#REF!</definedName>
    <definedName name="QB_ROW_201260" localSheetId="6" hidden="1">'2023 Capital DRAFT Budget'!#REF!</definedName>
    <definedName name="QB_ROW_201260" localSheetId="3" hidden="1">'2024 Capital DRAFT Budget'!#REF!</definedName>
    <definedName name="QB_ROW_202260" localSheetId="6" hidden="1">'2023 Capital DRAFT Budget'!#REF!</definedName>
    <definedName name="QB_ROW_202260" localSheetId="3" hidden="1">'2024 Capital DRAFT Budget'!#REF!</definedName>
    <definedName name="QB_ROW_203260" localSheetId="6" hidden="1">'2023 Capital DRAFT Budget'!#REF!</definedName>
    <definedName name="QB_ROW_203260" localSheetId="3" hidden="1">'2024 Capital DRAFT Budget'!#REF!</definedName>
    <definedName name="QB_ROW_20331" localSheetId="10" hidden="1">'2020 Budget'!$D$23</definedName>
    <definedName name="QB_ROW_20331" localSheetId="11" hidden="1">'2021 Budget'!$D$28</definedName>
    <definedName name="QB_ROW_20331" localSheetId="12" hidden="1">'2022 Forecast Fix'!$D$28</definedName>
    <definedName name="QB_ROW_20331" localSheetId="13" hidden="1">'2022 Forecast Worksheet'!$D$18</definedName>
    <definedName name="QB_ROW_20331" localSheetId="6" hidden="1">'2023 Capital DRAFT Budget'!$C$13</definedName>
    <definedName name="QB_ROW_20331" localSheetId="5" hidden="1">'2023 Ops Budget'!$D$16</definedName>
    <definedName name="QB_ROW_20331" localSheetId="3" hidden="1">'2024 Capital DRAFT Budget'!$C$13</definedName>
    <definedName name="QB_ROW_20331" localSheetId="4" hidden="1">'CAP IMPROVE Actl 2019-2022'!$D$21</definedName>
    <definedName name="QB_ROW_20331" localSheetId="7" hidden="1">'Monthly Act Capital funds 2022'!$D$20</definedName>
    <definedName name="QB_ROW_20331" localSheetId="8" hidden="1">'OPS Actl 2019-2022'!$D$18</definedName>
    <definedName name="QB_ROW_20331" localSheetId="9" hidden="1">'OPS Actl 21-22'!$D$17</definedName>
    <definedName name="QB_ROW_204260" localSheetId="6" hidden="1">'2023 Capital DRAFT Budget'!#REF!</definedName>
    <definedName name="QB_ROW_204260" localSheetId="3" hidden="1">'2024 Capital DRAFT Budget'!#REF!</definedName>
    <definedName name="QB_ROW_205050" localSheetId="6" hidden="1">'2023 Capital DRAFT Budget'!$E$45</definedName>
    <definedName name="QB_ROW_205050" localSheetId="3" hidden="1">'2024 Capital DRAFT Budget'!$E$51</definedName>
    <definedName name="QB_ROW_205260" localSheetId="6" hidden="1">'2023 Capital DRAFT Budget'!#REF!</definedName>
    <definedName name="QB_ROW_205260" localSheetId="3" hidden="1">'2024 Capital DRAFT Budget'!#REF!</definedName>
    <definedName name="QB_ROW_205350" localSheetId="11" hidden="1">'2021 Budget'!$F$78</definedName>
    <definedName name="QB_ROW_205350" localSheetId="6" hidden="1">'2023 Capital DRAFT Budget'!$E$50</definedName>
    <definedName name="QB_ROW_205350" localSheetId="3" hidden="1">'2024 Capital DRAFT Budget'!$E$56</definedName>
    <definedName name="QB_ROW_206260" localSheetId="6" hidden="1">'2023 Capital DRAFT Budget'!$F$49</definedName>
    <definedName name="QB_ROW_206260" localSheetId="3" hidden="1">'2024 Capital DRAFT Budget'!$F$55</definedName>
    <definedName name="QB_ROW_207260" localSheetId="6" hidden="1">'2023 Capital DRAFT Budget'!$F$48</definedName>
    <definedName name="QB_ROW_207260" localSheetId="3" hidden="1">'2024 Capital DRAFT Budget'!$F$54</definedName>
    <definedName name="QB_ROW_208260" localSheetId="6" hidden="1">'2023 Capital DRAFT Budget'!$F$47</definedName>
    <definedName name="QB_ROW_208260" localSheetId="3" hidden="1">'2024 Capital DRAFT Budget'!$F$53</definedName>
    <definedName name="QB_ROW_209260" localSheetId="6" hidden="1">'2023 Capital DRAFT Budget'!$F$46</definedName>
    <definedName name="QB_ROW_209260" localSheetId="3" hidden="1">'2024 Capital DRAFT Budget'!$F$52</definedName>
    <definedName name="QB_ROW_210050" localSheetId="6" hidden="1">'2023 Capital DRAFT Budget'!$E$23</definedName>
    <definedName name="QB_ROW_210050" localSheetId="3" hidden="1">'2024 Capital DRAFT Budget'!$E$23</definedName>
    <definedName name="QB_ROW_210050" localSheetId="7" hidden="1">'Monthly Act Capital funds 2022'!$F$37</definedName>
    <definedName name="QB_ROW_210260" localSheetId="6" hidden="1">'2023 Capital DRAFT Budget'!#REF!</definedName>
    <definedName name="QB_ROW_210260" localSheetId="3" hidden="1">'2024 Capital DRAFT Budget'!#REF!</definedName>
    <definedName name="QB_ROW_21031" localSheetId="10" hidden="1">'2020 Budget'!$D$25</definedName>
    <definedName name="QB_ROW_21031" localSheetId="11" hidden="1">'2021 Budget'!$D$30</definedName>
    <definedName name="QB_ROW_21031" localSheetId="12" hidden="1">'2022 Forecast Fix'!$D$30</definedName>
    <definedName name="QB_ROW_21031" localSheetId="13" hidden="1">'2022 Forecast Worksheet'!$D$20</definedName>
    <definedName name="QB_ROW_21031" localSheetId="6" hidden="1">'2023 Capital DRAFT Budget'!$C$14</definedName>
    <definedName name="QB_ROW_21031" localSheetId="5" hidden="1">'2023 Ops Budget'!$D$17</definedName>
    <definedName name="QB_ROW_21031" localSheetId="3" hidden="1">'2024 Capital DRAFT Budget'!$C$14</definedName>
    <definedName name="QB_ROW_21031" localSheetId="4" hidden="1">'CAP IMPROVE Actl 2019-2022'!$D$23</definedName>
    <definedName name="QB_ROW_21031" localSheetId="7" hidden="1">'Monthly Act Capital funds 2022'!$D$22</definedName>
    <definedName name="QB_ROW_21031" localSheetId="8" hidden="1">'OPS Actl 2019-2022'!$D$20</definedName>
    <definedName name="QB_ROW_21031" localSheetId="9" hidden="1">'OPS Actl 21-22'!$D$19</definedName>
    <definedName name="QB_ROW_210350" localSheetId="12" hidden="1">'2022 Forecast Fix'!$F$77</definedName>
    <definedName name="QB_ROW_210350" localSheetId="6" hidden="1">'2023 Capital DRAFT Budget'!$E$28</definedName>
    <definedName name="QB_ROW_210350" localSheetId="3" hidden="1">'2024 Capital DRAFT Budget'!$E$28</definedName>
    <definedName name="QB_ROW_210350" localSheetId="4" hidden="1">'CAP IMPROVE Actl 2019-2022'!$F$35</definedName>
    <definedName name="QB_ROW_210350" localSheetId="7" hidden="1">'Monthly Act Capital funds 2022'!$F$39</definedName>
    <definedName name="QB_ROW_211260" localSheetId="6" hidden="1">'2023 Capital DRAFT Budget'!$F$27</definedName>
    <definedName name="QB_ROW_211260" localSheetId="3" hidden="1">'2024 Capital DRAFT Budget'!$F$27</definedName>
    <definedName name="QB_ROW_212260" localSheetId="6" hidden="1">'2023 Capital DRAFT Budget'!$F$26</definedName>
    <definedName name="QB_ROW_212260" localSheetId="3" hidden="1">'2024 Capital DRAFT Budget'!$F$26</definedName>
    <definedName name="QB_ROW_212260" localSheetId="7" hidden="1">'Monthly Act Capital funds 2022'!$G$38</definedName>
    <definedName name="QB_ROW_213260" localSheetId="6" hidden="1">'2023 Capital DRAFT Budget'!$F$25</definedName>
    <definedName name="QB_ROW_213260" localSheetId="3" hidden="1">'2024 Capital DRAFT Budget'!$F$25</definedName>
    <definedName name="QB_ROW_21331" localSheetId="10" hidden="1">'2020 Budget'!$D$78</definedName>
    <definedName name="QB_ROW_21331" localSheetId="11" hidden="1">'2021 Budget'!$D$85</definedName>
    <definedName name="QB_ROW_21331" localSheetId="12" hidden="1">'2022 Forecast Fix'!$D$82</definedName>
    <definedName name="QB_ROW_21331" localSheetId="13" hidden="1">'2022 Forecast Worksheet'!$D$61</definedName>
    <definedName name="QB_ROW_21331" localSheetId="6" hidden="1">'2023 Capital DRAFT Budget'!$C$76</definedName>
    <definedName name="QB_ROW_21331" localSheetId="5" hidden="1">'2023 Ops Budget'!$D$58</definedName>
    <definedName name="QB_ROW_21331" localSheetId="3" hidden="1">'2024 Capital DRAFT Budget'!$C$83</definedName>
    <definedName name="QB_ROW_21331" localSheetId="4" hidden="1">'CAP IMPROVE Actl 2019-2022'!$D$40</definedName>
    <definedName name="QB_ROW_21331" localSheetId="7" hidden="1">'Monthly Act Capital funds 2022'!$D$44</definedName>
    <definedName name="QB_ROW_21331" localSheetId="8" hidden="1">'OPS Actl 2019-2022'!$D$60</definedName>
    <definedName name="QB_ROW_21331" localSheetId="9" hidden="1">'OPS Actl 21-22'!$D$59</definedName>
    <definedName name="QB_ROW_214260" localSheetId="6" hidden="1">'2023 Capital DRAFT Budget'!$F$24</definedName>
    <definedName name="QB_ROW_214260" localSheetId="3" hidden="1">'2024 Capital DRAFT Budget'!$F$24</definedName>
    <definedName name="QB_ROW_215050" localSheetId="6" hidden="1">'2023 Capital DRAFT Budget'!$E$29</definedName>
    <definedName name="QB_ROW_215050" localSheetId="3" hidden="1">'2024 Capital DRAFT Budget'!$E$35</definedName>
    <definedName name="QB_ROW_215260" localSheetId="6" hidden="1">'2023 Capital DRAFT Budget'!#REF!</definedName>
    <definedName name="QB_ROW_215260" localSheetId="3" hidden="1">'2024 Capital DRAFT Budget'!#REF!</definedName>
    <definedName name="QB_ROW_215350" localSheetId="10" hidden="1">'2020 Budget'!$F$73</definedName>
    <definedName name="QB_ROW_215350" localSheetId="11" hidden="1">'2021 Budget'!$F$80</definedName>
    <definedName name="QB_ROW_215350" localSheetId="12" hidden="1">'2022 Forecast Fix'!$F$78</definedName>
    <definedName name="QB_ROW_215350" localSheetId="6" hidden="1">'2023 Capital DRAFT Budget'!$E$34</definedName>
    <definedName name="QB_ROW_215350" localSheetId="3" hidden="1">'2024 Capital DRAFT Budget'!$E$40</definedName>
    <definedName name="QB_ROW_215350" localSheetId="4" hidden="1">'CAP IMPROVE Actl 2019-2022'!$F$36</definedName>
    <definedName name="QB_ROW_216260" localSheetId="6" hidden="1">'2023 Capital DRAFT Budget'!$F$33</definedName>
    <definedName name="QB_ROW_216260" localSheetId="3" hidden="1">'2024 Capital DRAFT Budget'!$F$39</definedName>
    <definedName name="QB_ROW_217260" localSheetId="6" hidden="1">'2023 Capital DRAFT Budget'!$F$32</definedName>
    <definedName name="QB_ROW_217260" localSheetId="3" hidden="1">'2024 Capital DRAFT Budget'!$F$38</definedName>
    <definedName name="QB_ROW_218260" localSheetId="6" hidden="1">'2023 Capital DRAFT Budget'!$F$31</definedName>
    <definedName name="QB_ROW_218260" localSheetId="3" hidden="1">'2024 Capital DRAFT Budget'!$F$37</definedName>
    <definedName name="QB_ROW_219260" localSheetId="6" hidden="1">'2023 Capital DRAFT Budget'!$F$30</definedName>
    <definedName name="QB_ROW_219260" localSheetId="3" hidden="1">'2024 Capital DRAFT Budget'!$F$36</definedName>
    <definedName name="QB_ROW_22011" localSheetId="7" hidden="1">'Monthly Act Capital funds 2022'!$B$46</definedName>
    <definedName name="QB_ROW_220240" localSheetId="11" hidden="1">'2021 Budget'!$E$83</definedName>
    <definedName name="QB_ROW_220240" localSheetId="12" hidden="1">'2022 Forecast Fix'!$E$80</definedName>
    <definedName name="QB_ROW_220240" localSheetId="6" hidden="1">'2023 Capital DRAFT Budget'!$E$74</definedName>
    <definedName name="QB_ROW_220240" localSheetId="3" hidden="1">'2024 Capital DRAFT Budget'!$E$80</definedName>
    <definedName name="QB_ROW_220240" localSheetId="4" hidden="1">'CAP IMPROVE Actl 2019-2022'!$E$38</definedName>
    <definedName name="QB_ROW_220240" localSheetId="7" hidden="1">'Monthly Act Capital funds 2022'!$E$43</definedName>
    <definedName name="QB_ROW_221050" localSheetId="6" hidden="1">'2023 Capital DRAFT Budget'!$E$67</definedName>
    <definedName name="QB_ROW_221050" localSheetId="3" hidden="1">'2024 Capital DRAFT Budget'!$E$73</definedName>
    <definedName name="QB_ROW_221050" localSheetId="7" hidden="1">'Monthly Act Capital funds 2022'!$F$33</definedName>
    <definedName name="QB_ROW_221260" localSheetId="6" hidden="1">'2023 Capital DRAFT Budget'!#REF!</definedName>
    <definedName name="QB_ROW_221260" localSheetId="3" hidden="1">'2024 Capital DRAFT Budget'!#REF!</definedName>
    <definedName name="QB_ROW_221350" localSheetId="10" hidden="1">'2020 Budget'!$F$72</definedName>
    <definedName name="QB_ROW_221350" localSheetId="11" hidden="1">'2021 Budget'!$F$79</definedName>
    <definedName name="QB_ROW_221350" localSheetId="12" hidden="1">'2022 Forecast Fix'!$F$76</definedName>
    <definedName name="QB_ROW_221350" localSheetId="6" hidden="1">'2023 Capital DRAFT Budget'!$E$72</definedName>
    <definedName name="QB_ROW_221350" localSheetId="3" hidden="1">'2024 Capital DRAFT Budget'!$E$78</definedName>
    <definedName name="QB_ROW_221350" localSheetId="4" hidden="1">'CAP IMPROVE Actl 2019-2022'!$F$34</definedName>
    <definedName name="QB_ROW_221350" localSheetId="7" hidden="1">'Monthly Act Capital funds 2022'!$F$36</definedName>
    <definedName name="QB_ROW_222260" localSheetId="6" hidden="1">'2023 Capital DRAFT Budget'!$F$71</definedName>
    <definedName name="QB_ROW_222260" localSheetId="3" hidden="1">'2024 Capital DRAFT Budget'!$F$77</definedName>
    <definedName name="QB_ROW_22311" localSheetId="10" hidden="1">'2020 Budget'!$B$80</definedName>
    <definedName name="QB_ROW_22311" localSheetId="11" hidden="1">'2021 Budget'!$B$87</definedName>
    <definedName name="QB_ROW_22311" localSheetId="12" hidden="1">'2022 Forecast Fix'!$B$84</definedName>
    <definedName name="QB_ROW_22311" localSheetId="13" hidden="1">'2022 Forecast Worksheet'!$B$63</definedName>
    <definedName name="QB_ROW_22311" localSheetId="6" hidden="1">'2023 Capital DRAFT Budget'!$C$12</definedName>
    <definedName name="QB_ROW_22311" localSheetId="5" hidden="1">'2023 Ops Budget'!$B$60</definedName>
    <definedName name="QB_ROW_22311" localSheetId="3" hidden="1">'2024 Capital DRAFT Budget'!$C$12</definedName>
    <definedName name="QB_ROW_22311" localSheetId="7" hidden="1">'Monthly Act Capital funds 2022'!$B$50</definedName>
    <definedName name="QB_ROW_22311" localSheetId="8" hidden="1">'OPS Actl 2019-2022'!$B$62</definedName>
    <definedName name="QB_ROW_22311" localSheetId="9" hidden="1">'OPS Actl 21-22'!$B$61</definedName>
    <definedName name="QB_ROW_223260" localSheetId="6" hidden="1">'2023 Capital DRAFT Budget'!$F$70</definedName>
    <definedName name="QB_ROW_223260" localSheetId="3" hidden="1">'2024 Capital DRAFT Budget'!$F$76</definedName>
    <definedName name="QB_ROW_223260" localSheetId="7" hidden="1">'Monthly Act Capital funds 2022'!$G$35</definedName>
    <definedName name="QB_ROW_224260" localSheetId="6" hidden="1">'2023 Capital DRAFT Budget'!$F$69</definedName>
    <definedName name="QB_ROW_224260" localSheetId="3" hidden="1">'2024 Capital DRAFT Budget'!$F$75</definedName>
    <definedName name="QB_ROW_225260" localSheetId="6" hidden="1">'2023 Capital DRAFT Budget'!$F$68</definedName>
    <definedName name="QB_ROW_225260" localSheetId="3" hidden="1">'2024 Capital DRAFT Budget'!$F$74</definedName>
    <definedName name="QB_ROW_225260" localSheetId="7" hidden="1">'Monthly Act Capital funds 2022'!$G$34</definedName>
    <definedName name="QB_ROW_226050" localSheetId="6" hidden="1">'2023 Capital DRAFT Budget'!#REF!</definedName>
    <definedName name="QB_ROW_226050" localSheetId="3" hidden="1">'2024 Capital DRAFT Budget'!#REF!</definedName>
    <definedName name="QB_ROW_226260" localSheetId="6" hidden="1">'2023 Capital DRAFT Budget'!#REF!</definedName>
    <definedName name="QB_ROW_226260" localSheetId="3" hidden="1">'2024 Capital DRAFT Budget'!#REF!</definedName>
    <definedName name="QB_ROW_226350" localSheetId="10" hidden="1">'2020 Budget'!$F$75</definedName>
    <definedName name="QB_ROW_226350" localSheetId="11" hidden="1">'2021 Budget'!$F$81</definedName>
    <definedName name="QB_ROW_226350" localSheetId="6" hidden="1">'2023 Capital DRAFT Budget'!#REF!</definedName>
    <definedName name="QB_ROW_226350" localSheetId="3" hidden="1">'2024 Capital DRAFT Budget'!#REF!</definedName>
    <definedName name="QB_ROW_227260" localSheetId="6" hidden="1">'2023 Capital DRAFT Budget'!#REF!</definedName>
    <definedName name="QB_ROW_227260" localSheetId="3" hidden="1">'2024 Capital DRAFT Budget'!#REF!</definedName>
    <definedName name="QB_ROW_228260" localSheetId="6" hidden="1">'2023 Capital DRAFT Budget'!#REF!</definedName>
    <definedName name="QB_ROW_228260" localSheetId="3" hidden="1">'2024 Capital DRAFT Budget'!#REF!</definedName>
    <definedName name="QB_ROW_23021" localSheetId="7" hidden="1">'Monthly Act Capital funds 2022'!$C$47</definedName>
    <definedName name="QB_ROW_23321" localSheetId="7" hidden="1">'Monthly Act Capital funds 2022'!$C$49</definedName>
    <definedName name="QB_ROW_240050" localSheetId="6" hidden="1">'2023 Capital DRAFT Budget'!$E$35</definedName>
    <definedName name="QB_ROW_240050" localSheetId="3" hidden="1">'2024 Capital DRAFT Budget'!$E$41</definedName>
    <definedName name="QB_ROW_240260" localSheetId="6" hidden="1">'2023 Capital DRAFT Budget'!#REF!</definedName>
    <definedName name="QB_ROW_240260" localSheetId="3" hidden="1">'2024 Capital DRAFT Budget'!#REF!</definedName>
    <definedName name="QB_ROW_240350" localSheetId="10" hidden="1">'2020 Budget'!$F$74</definedName>
    <definedName name="QB_ROW_240350" localSheetId="6" hidden="1">'2023 Capital DRAFT Budget'!$E$38</definedName>
    <definedName name="QB_ROW_240350" localSheetId="3" hidden="1">'2024 Capital DRAFT Budget'!$E$44</definedName>
    <definedName name="QB_ROW_241260" localSheetId="6" hidden="1">'2023 Capital DRAFT Budget'!$F$36</definedName>
    <definedName name="QB_ROW_241260" localSheetId="3" hidden="1">'2024 Capital DRAFT Budget'!$F$42</definedName>
    <definedName name="QB_ROW_242260" localSheetId="6" hidden="1">'2023 Capital DRAFT Budget'!$F$37</definedName>
    <definedName name="QB_ROW_242260" localSheetId="3" hidden="1">'2024 Capital DRAFT Budget'!$F$43</definedName>
    <definedName name="QB_ROW_243050" localSheetId="6" hidden="1">'2023 Capital DRAFT Budget'!$E$62</definedName>
    <definedName name="QB_ROW_243050" localSheetId="3" hidden="1">'2024 Capital DRAFT Budget'!$E$68</definedName>
    <definedName name="QB_ROW_243260" localSheetId="6" hidden="1">'2023 Capital DRAFT Budget'!#REF!</definedName>
    <definedName name="QB_ROW_243260" localSheetId="3" hidden="1">'2024 Capital DRAFT Budget'!#REF!</definedName>
    <definedName name="QB_ROW_243350" localSheetId="10" hidden="1">'2020 Budget'!$F$70</definedName>
    <definedName name="QB_ROW_243350" localSheetId="6" hidden="1">'2023 Capital DRAFT Budget'!$E$66</definedName>
    <definedName name="QB_ROW_243350" localSheetId="3" hidden="1">'2024 Capital DRAFT Budget'!$E$72</definedName>
    <definedName name="QB_ROW_243350" localSheetId="4" hidden="1">'CAP IMPROVE Actl 2019-2022'!$F$33</definedName>
    <definedName name="QB_ROW_244260" localSheetId="6" hidden="1">'2023 Capital DRAFT Budget'!$F$64</definedName>
    <definedName name="QB_ROW_244260" localSheetId="3" hidden="1">'2024 Capital DRAFT Budget'!$F$70</definedName>
    <definedName name="QB_ROW_245260" localSheetId="6" hidden="1">'2023 Capital DRAFT Budget'!$F$65</definedName>
    <definedName name="QB_ROW_245260" localSheetId="3" hidden="1">'2024 Capital DRAFT Budget'!$F$71</definedName>
    <definedName name="QB_ROW_246260" localSheetId="6" hidden="1">'2023 Capital DRAFT Budget'!$F$63</definedName>
    <definedName name="QB_ROW_246260" localSheetId="3" hidden="1">'2024 Capital DRAFT Budget'!$F$69</definedName>
    <definedName name="QB_ROW_247050" localSheetId="6" hidden="1">'2023 Capital DRAFT Budget'!$E$57</definedName>
    <definedName name="QB_ROW_247050" localSheetId="3" hidden="1">'2024 Capital DRAFT Budget'!$E$63</definedName>
    <definedName name="QB_ROW_247260" localSheetId="6" hidden="1">'2023 Capital DRAFT Budget'!#REF!</definedName>
    <definedName name="QB_ROW_247260" localSheetId="3" hidden="1">'2024 Capital DRAFT Budget'!#REF!</definedName>
    <definedName name="QB_ROW_247350" localSheetId="10" hidden="1">'2020 Budget'!$F$69</definedName>
    <definedName name="QB_ROW_247350" localSheetId="11" hidden="1">'2021 Budget'!$F$76</definedName>
    <definedName name="QB_ROW_247350" localSheetId="6" hidden="1">'2023 Capital DRAFT Budget'!$E$61</definedName>
    <definedName name="QB_ROW_247350" localSheetId="3" hidden="1">'2024 Capital DRAFT Budget'!$E$67</definedName>
    <definedName name="QB_ROW_247350" localSheetId="4" hidden="1">'CAP IMPROVE Actl 2019-2022'!$F$32</definedName>
    <definedName name="QB_ROW_248260" localSheetId="6" hidden="1">'2023 Capital DRAFT Budget'!$F$60</definedName>
    <definedName name="QB_ROW_248260" localSheetId="3" hidden="1">'2024 Capital DRAFT Budget'!$F$66</definedName>
    <definedName name="QB_ROW_249260" localSheetId="6" hidden="1">'2023 Capital DRAFT Budget'!$F$59</definedName>
    <definedName name="QB_ROW_249260" localSheetId="3" hidden="1">'2024 Capital DRAFT Budget'!$F$65</definedName>
    <definedName name="QB_ROW_250260" localSheetId="6" hidden="1">'2023 Capital DRAFT Budget'!$F$58</definedName>
    <definedName name="QB_ROW_250260" localSheetId="3" hidden="1">'2024 Capital DRAFT Budget'!$F$64</definedName>
    <definedName name="QB_ROW_253240" localSheetId="13" hidden="1">'2022 Forecast Worksheet'!$E$17</definedName>
    <definedName name="QB_ROW_253240" localSheetId="6" hidden="1">'2023 Capital DRAFT Budget'!#REF!</definedName>
    <definedName name="QB_ROW_253240" localSheetId="3" hidden="1">'2024 Capital DRAFT Budget'!#REF!</definedName>
    <definedName name="QB_ROW_253240" localSheetId="4" hidden="1">'CAP IMPROVE Actl 2019-2022'!$E$20</definedName>
    <definedName name="QB_ROW_253240" localSheetId="8" hidden="1">'OPS Actl 2019-2022'!$E$17</definedName>
    <definedName name="QB_ROW_253240" localSheetId="9" hidden="1">'OPS Actl 21-22'!$E$16</definedName>
    <definedName name="QB_ROW_254240" localSheetId="6" hidden="1">'2023 Capital DRAFT Budget'!#REF!</definedName>
    <definedName name="QB_ROW_254240" localSheetId="3" hidden="1">'2024 Capital DRAFT Budget'!#REF!</definedName>
    <definedName name="QB_ROW_255250" localSheetId="11" hidden="1">'2021 Budget'!$F$23</definedName>
    <definedName name="QB_ROW_255250" localSheetId="12" hidden="1">'2022 Forecast Fix'!$F$23</definedName>
    <definedName name="QB_ROW_255250" localSheetId="13" hidden="1">'2022 Forecast Worksheet'!$F$13</definedName>
    <definedName name="QB_ROW_255250" localSheetId="5" hidden="1">'2023 Ops Budget'!$F$14</definedName>
    <definedName name="QB_ROW_255250" localSheetId="8" hidden="1">'OPS Actl 2019-2022'!$F$13</definedName>
    <definedName name="QB_ROW_255250" localSheetId="9" hidden="1">'OPS Actl 21-22'!$F$13</definedName>
    <definedName name="QB_ROW_261240" localSheetId="6" hidden="1">'2023 Capital DRAFT Budget'!#REF!</definedName>
    <definedName name="QB_ROW_261240" localSheetId="3" hidden="1">'2024 Capital DRAFT Budget'!#REF!</definedName>
    <definedName name="QB_ROW_44240" localSheetId="10" hidden="1">'2020 Budget'!$E$22</definedName>
    <definedName name="QB_ROW_44240" localSheetId="11" hidden="1">'2021 Budget'!$E$27</definedName>
    <definedName name="QB_ROW_44240" localSheetId="12" hidden="1">'2022 Forecast Fix'!$E$27</definedName>
    <definedName name="QB_ROW_44240" localSheetId="6" hidden="1">'2023 Capital DRAFT Budget'!$D$10</definedName>
    <definedName name="QB_ROW_44240" localSheetId="3" hidden="1">'2024 Capital DRAFT Budget'!$D$10</definedName>
    <definedName name="QB_ROW_44240" localSheetId="4" hidden="1">'CAP IMPROVE Actl 2019-2022'!$E$19</definedName>
    <definedName name="QB_ROW_44240" localSheetId="7" hidden="1">'Monthly Act Capital funds 2022'!$E$19</definedName>
    <definedName name="QB_ROW_47240" localSheetId="6" hidden="1">'2023 Capital DRAFT Budget'!#REF!</definedName>
    <definedName name="QB_ROW_47240" localSheetId="3" hidden="1">'2024 Capital DRAFT Budget'!#REF!</definedName>
    <definedName name="QB_ROW_48240" localSheetId="6" hidden="1">'2023 Capital DRAFT Budget'!#REF!</definedName>
    <definedName name="QB_ROW_48240" localSheetId="3" hidden="1">'2024 Capital DRAFT Budget'!#REF!</definedName>
    <definedName name="QB_ROW_49240" localSheetId="6" hidden="1">'2023 Capital DRAFT Budget'!#REF!</definedName>
    <definedName name="QB_ROW_49240" localSheetId="3" hidden="1">'2024 Capital DRAFT Budget'!#REF!</definedName>
    <definedName name="QB_ROW_50250" localSheetId="10" hidden="1">'2020 Budget'!$F$9</definedName>
    <definedName name="QB_ROW_50250" localSheetId="13" hidden="1">'2022 Forecast Worksheet'!$F$8</definedName>
    <definedName name="QB_ROW_50250" localSheetId="5" hidden="1">'2023 Ops Budget'!$F$9</definedName>
    <definedName name="QB_ROW_50250" localSheetId="8" hidden="1">'OPS Actl 2019-2022'!$F$8</definedName>
    <definedName name="QB_ROW_51240" localSheetId="6" hidden="1">'2023 Capital DRAFT Budget'!#REF!</definedName>
    <definedName name="QB_ROW_51240" localSheetId="3" hidden="1">'2024 Capital DRAFT Budget'!#REF!</definedName>
    <definedName name="QB_ROW_53040" localSheetId="10" hidden="1">'2020 Budget'!$E$27</definedName>
    <definedName name="QB_ROW_53040" localSheetId="11" hidden="1">'2021 Budget'!$E$32</definedName>
    <definedName name="QB_ROW_53040" localSheetId="12" hidden="1">'2022 Forecast Fix'!$E$32</definedName>
    <definedName name="QB_ROW_53040" localSheetId="13" hidden="1">'2022 Forecast Worksheet'!$E$22</definedName>
    <definedName name="QB_ROW_53040" localSheetId="6" hidden="1">'2023 Capital DRAFT Budget'!#REF!</definedName>
    <definedName name="QB_ROW_53040" localSheetId="5" hidden="1">'2023 Ops Budget'!$E$19</definedName>
    <definedName name="QB_ROW_53040" localSheetId="3" hidden="1">'2024 Capital DRAFT Budget'!#REF!</definedName>
    <definedName name="QB_ROW_53040" localSheetId="4" hidden="1">'CAP IMPROVE Actl 2019-2022'!$E$24</definedName>
    <definedName name="QB_ROW_53040" localSheetId="7" hidden="1">'Monthly Act Capital funds 2022'!$E$23</definedName>
    <definedName name="QB_ROW_53040" localSheetId="8" hidden="1">'OPS Actl 2019-2022'!$E$22</definedName>
    <definedName name="QB_ROW_53040" localSheetId="9" hidden="1">'OPS Actl 21-22'!$E$21</definedName>
    <definedName name="QB_ROW_53250" localSheetId="6" hidden="1">'2023 Capital DRAFT Budget'!#REF!</definedName>
    <definedName name="QB_ROW_53250" localSheetId="3" hidden="1">'2024 Capital DRAFT Budget'!#REF!</definedName>
    <definedName name="QB_ROW_53340" localSheetId="10" hidden="1">'2020 Budget'!$E$45</definedName>
    <definedName name="QB_ROW_53340" localSheetId="11" hidden="1">'2021 Budget'!$E$51</definedName>
    <definedName name="QB_ROW_53340" localSheetId="12" hidden="1">'2022 Forecast Fix'!$E$50</definedName>
    <definedName name="QB_ROW_53340" localSheetId="13" hidden="1">'2022 Forecast Worksheet'!$E$39</definedName>
    <definedName name="QB_ROW_53340" localSheetId="6" hidden="1">'2023 Capital DRAFT Budget'!#REF!</definedName>
    <definedName name="QB_ROW_53340" localSheetId="5" hidden="1">'2023 Ops Budget'!$E$34</definedName>
    <definedName name="QB_ROW_53340" localSheetId="3" hidden="1">'2024 Capital DRAFT Budget'!#REF!</definedName>
    <definedName name="QB_ROW_53340" localSheetId="4" hidden="1">'CAP IMPROVE Actl 2019-2022'!$E$29</definedName>
    <definedName name="QB_ROW_53340" localSheetId="7" hidden="1">'Monthly Act Capital funds 2022'!$E$27</definedName>
    <definedName name="QB_ROW_53340" localSheetId="8" hidden="1">'OPS Actl 2019-2022'!$E$39</definedName>
    <definedName name="QB_ROW_53340" localSheetId="9" hidden="1">'OPS Actl 21-22'!$E$38</definedName>
    <definedName name="QB_ROW_54050" localSheetId="10" hidden="1">'2020 Budget'!$F$29</definedName>
    <definedName name="QB_ROW_54050" localSheetId="11" hidden="1">'2021 Budget'!$F$34</definedName>
    <definedName name="QB_ROW_54050" localSheetId="12" hidden="1">'2022 Forecast Fix'!$F$34</definedName>
    <definedName name="QB_ROW_54050" localSheetId="13" hidden="1">'2022 Forecast Worksheet'!$F$24</definedName>
    <definedName name="QB_ROW_54050" localSheetId="6" hidden="1">'2023 Capital DRAFT Budget'!#REF!</definedName>
    <definedName name="QB_ROW_54050" localSheetId="5" hidden="1">'2023 Ops Budget'!$F$21</definedName>
    <definedName name="QB_ROW_54050" localSheetId="3" hidden="1">'2024 Capital DRAFT Budget'!#REF!</definedName>
    <definedName name="QB_ROW_54050" localSheetId="4" hidden="1">'CAP IMPROVE Actl 2019-2022'!$F$25</definedName>
    <definedName name="QB_ROW_54050" localSheetId="7" hidden="1">'Monthly Act Capital funds 2022'!$F$24</definedName>
    <definedName name="QB_ROW_54050" localSheetId="8" hidden="1">'OPS Actl 2019-2022'!$F$24</definedName>
    <definedName name="QB_ROW_54050" localSheetId="9" hidden="1">'OPS Actl 21-22'!$F$23</definedName>
    <definedName name="QB_ROW_54260" localSheetId="11" hidden="1">'2021 Budget'!$G$38</definedName>
    <definedName name="QB_ROW_54260" localSheetId="6" hidden="1">'2023 Capital DRAFT Budget'!#REF!</definedName>
    <definedName name="QB_ROW_54260" localSheetId="5" hidden="1">'2023 Ops Budget'!#REF!</definedName>
    <definedName name="QB_ROW_54260" localSheetId="3" hidden="1">'2024 Capital DRAFT Budget'!#REF!</definedName>
    <definedName name="QB_ROW_54350" localSheetId="10" hidden="1">'2020 Budget'!$F$33</definedName>
    <definedName name="QB_ROW_54350" localSheetId="11" hidden="1">'2021 Budget'!$F$39</definedName>
    <definedName name="QB_ROW_54350" localSheetId="12" hidden="1">'2022 Forecast Fix'!$F$38</definedName>
    <definedName name="QB_ROW_54350" localSheetId="13" hidden="1">'2022 Forecast Worksheet'!$F$28</definedName>
    <definedName name="QB_ROW_54350" localSheetId="6" hidden="1">'2023 Capital DRAFT Budget'!#REF!</definedName>
    <definedName name="QB_ROW_54350" localSheetId="5" hidden="1">'2023 Ops Budget'!$F$25</definedName>
    <definedName name="QB_ROW_54350" localSheetId="3" hidden="1">'2024 Capital DRAFT Budget'!#REF!</definedName>
    <definedName name="QB_ROW_54350" localSheetId="4" hidden="1">'CAP IMPROVE Actl 2019-2022'!$F$28</definedName>
    <definedName name="QB_ROW_54350" localSheetId="7" hidden="1">'Monthly Act Capital funds 2022'!$F$26</definedName>
    <definedName name="QB_ROW_54350" localSheetId="8" hidden="1">'OPS Actl 2019-2022'!$F$28</definedName>
    <definedName name="QB_ROW_54350" localSheetId="9" hidden="1">'OPS Actl 21-22'!$F$27</definedName>
    <definedName name="QB_ROW_55260" localSheetId="10" hidden="1">'2020 Budget'!$G$30</definedName>
    <definedName name="QB_ROW_55260" localSheetId="11" hidden="1">'2021 Budget'!$G$35</definedName>
    <definedName name="QB_ROW_55260" localSheetId="12" hidden="1">'2022 Forecast Fix'!$G$35</definedName>
    <definedName name="QB_ROW_55260" localSheetId="13" hidden="1">'2022 Forecast Worksheet'!$G$25</definedName>
    <definedName name="QB_ROW_55260" localSheetId="6" hidden="1">'2023 Capital DRAFT Budget'!#REF!</definedName>
    <definedName name="QB_ROW_55260" localSheetId="5" hidden="1">'2023 Ops Budget'!$G$22</definedName>
    <definedName name="QB_ROW_55260" localSheetId="3" hidden="1">'2024 Capital DRAFT Budget'!#REF!</definedName>
    <definedName name="QB_ROW_55260" localSheetId="8" hidden="1">'OPS Actl 2019-2022'!$G$25</definedName>
    <definedName name="QB_ROW_55260" localSheetId="9" hidden="1">'OPS Actl 21-22'!$G$24</definedName>
    <definedName name="QB_ROW_58250" localSheetId="10" hidden="1">'2020 Budget'!$F$47</definedName>
    <definedName name="QB_ROW_58250" localSheetId="11" hidden="1">'2021 Budget'!$F$53</definedName>
    <definedName name="QB_ROW_58250" localSheetId="12" hidden="1">'2022 Forecast Fix'!$F$52</definedName>
    <definedName name="QB_ROW_58250" localSheetId="13" hidden="1">'2022 Forecast Worksheet'!$F$41</definedName>
    <definedName name="QB_ROW_58250" localSheetId="5" hidden="1">'2023 Ops Budget'!$F$36</definedName>
    <definedName name="QB_ROW_58250" localSheetId="8" hidden="1">'OPS Actl 2019-2022'!$F$41</definedName>
    <definedName name="QB_ROW_58250" localSheetId="9" hidden="1">'OPS Actl 21-22'!$F$40</definedName>
    <definedName name="QB_ROW_59250" localSheetId="10" hidden="1">'2020 Budget'!$F$38</definedName>
    <definedName name="QB_ROW_59250" localSheetId="11" hidden="1">'2021 Budget'!$F$45</definedName>
    <definedName name="QB_ROW_59250" localSheetId="12" hidden="1">'2022 Forecast Fix'!$F$43</definedName>
    <definedName name="QB_ROW_59250" localSheetId="13" hidden="1">'2022 Forecast Worksheet'!$F$33</definedName>
    <definedName name="QB_ROW_59250" localSheetId="6" hidden="1">'2023 Capital DRAFT Budget'!#REF!</definedName>
    <definedName name="QB_ROW_59250" localSheetId="5" hidden="1">'2023 Ops Budget'!$F$30</definedName>
    <definedName name="QB_ROW_59250" localSheetId="3" hidden="1">'2024 Capital DRAFT Budget'!#REF!</definedName>
    <definedName name="QB_ROW_59250" localSheetId="8" hidden="1">'OPS Actl 2019-2022'!$F$33</definedName>
    <definedName name="QB_ROW_59250" localSheetId="9" hidden="1">'OPS Actl 21-22'!$F$32</definedName>
    <definedName name="QB_ROW_60250" localSheetId="10" hidden="1">'2020 Budget'!$F$28</definedName>
    <definedName name="QB_ROW_60250" localSheetId="11" hidden="1">'2021 Budget'!$F$33</definedName>
    <definedName name="QB_ROW_60250" localSheetId="12" hidden="1">'2022 Forecast Fix'!$F$33</definedName>
    <definedName name="QB_ROW_60250" localSheetId="13" hidden="1">'2022 Forecast Worksheet'!$F$23</definedName>
    <definedName name="QB_ROW_60250" localSheetId="6" hidden="1">'2023 Capital DRAFT Budget'!#REF!</definedName>
    <definedName name="QB_ROW_60250" localSheetId="5" hidden="1">'2023 Ops Budget'!$F$20</definedName>
    <definedName name="QB_ROW_60250" localSheetId="3" hidden="1">'2024 Capital DRAFT Budget'!#REF!</definedName>
    <definedName name="QB_ROW_60250" localSheetId="8" hidden="1">'OPS Actl 2019-2022'!$F$23</definedName>
    <definedName name="QB_ROW_60250" localSheetId="9" hidden="1">'OPS Actl 21-22'!$F$22</definedName>
    <definedName name="QB_ROW_61250" localSheetId="10" hidden="1">'2020 Budget'!$F$65</definedName>
    <definedName name="QB_ROW_61250" localSheetId="11" hidden="1">'2021 Budget'!$F$72</definedName>
    <definedName name="QB_ROW_61250" localSheetId="12" hidden="1">'2022 Forecast Fix'!$F$71</definedName>
    <definedName name="QB_ROW_61250" localSheetId="13" hidden="1">'2022 Forecast Worksheet'!$F$59</definedName>
    <definedName name="QB_ROW_61250" localSheetId="5" hidden="1">'2023 Ops Budget'!$F$56</definedName>
    <definedName name="QB_ROW_61250" localSheetId="8" hidden="1">'OPS Actl 2019-2022'!$F$58</definedName>
    <definedName name="QB_ROW_61250" localSheetId="9" hidden="1">'OPS Actl 21-22'!$F$57</definedName>
    <definedName name="QB_ROW_62250" localSheetId="6" hidden="1">'2023 Capital DRAFT Budget'!#REF!</definedName>
    <definedName name="QB_ROW_62250" localSheetId="3" hidden="1">'2024 Capital DRAFT Budget'!#REF!</definedName>
    <definedName name="QB_ROW_63240" localSheetId="6" hidden="1">'2023 Capital DRAFT Budget'!#REF!</definedName>
    <definedName name="QB_ROW_63240" localSheetId="3" hidden="1">'2024 Capital DRAFT Budget'!#REF!</definedName>
    <definedName name="QB_ROW_64350" localSheetId="6" hidden="1">'2023 Capital DRAFT Budget'!#REF!</definedName>
    <definedName name="QB_ROW_64350" localSheetId="3" hidden="1">'2024 Capital DRAFT Budget'!#REF!</definedName>
    <definedName name="QB_ROW_69040" localSheetId="10" hidden="1">'2020 Budget'!$E$46</definedName>
    <definedName name="QB_ROW_69040" localSheetId="11" hidden="1">'2021 Budget'!$E$52</definedName>
    <definedName name="QB_ROW_69040" localSheetId="12" hidden="1">'2022 Forecast Fix'!$E$51</definedName>
    <definedName name="QB_ROW_69040" localSheetId="13" hidden="1">'2022 Forecast Worksheet'!$E$40</definedName>
    <definedName name="QB_ROW_69040" localSheetId="5" hidden="1">'2023 Ops Budget'!$E$35</definedName>
    <definedName name="QB_ROW_69040" localSheetId="8" hidden="1">'OPS Actl 2019-2022'!$E$40</definedName>
    <definedName name="QB_ROW_69040" localSheetId="9" hidden="1">'OPS Actl 21-22'!$E$39</definedName>
    <definedName name="QB_ROW_69340" localSheetId="10" hidden="1">'2020 Budget'!$E$60</definedName>
    <definedName name="QB_ROW_69340" localSheetId="11" hidden="1">'2021 Budget'!$E$67</definedName>
    <definedName name="QB_ROW_69340" localSheetId="12" hidden="1">'2022 Forecast Fix'!$E$66</definedName>
    <definedName name="QB_ROW_69340" localSheetId="13" hidden="1">'2022 Forecast Worksheet'!$E$55</definedName>
    <definedName name="QB_ROW_69340" localSheetId="6" hidden="1">'2023 Capital DRAFT Budget'!#REF!</definedName>
    <definedName name="QB_ROW_69340" localSheetId="5" hidden="1">'2023 Ops Budget'!$E$51</definedName>
    <definedName name="QB_ROW_69340" localSheetId="3" hidden="1">'2024 Capital DRAFT Budget'!#REF!</definedName>
    <definedName name="QB_ROW_69340" localSheetId="8" hidden="1">'OPS Actl 2019-2022'!$E$54</definedName>
    <definedName name="QB_ROW_69340" localSheetId="9" hidden="1">'OPS Actl 21-22'!$E$53</definedName>
    <definedName name="QB_ROW_70250" localSheetId="10" hidden="1">'2020 Budget'!$F$59</definedName>
    <definedName name="QB_ROW_70250" localSheetId="11" hidden="1">'2021 Budget'!$F$66</definedName>
    <definedName name="QB_ROW_70250" localSheetId="12" hidden="1">'2022 Forecast Fix'!$F$65</definedName>
    <definedName name="QB_ROW_70250" localSheetId="13" hidden="1">'2022 Forecast Worksheet'!$F$54</definedName>
    <definedName name="QB_ROW_70250" localSheetId="5" hidden="1">'2023 Ops Budget'!$F$50</definedName>
    <definedName name="QB_ROW_70250" localSheetId="8" hidden="1">'OPS Actl 2019-2022'!$F$53</definedName>
    <definedName name="QB_ROW_70250" localSheetId="9" hidden="1">'OPS Actl 21-22'!$F$52</definedName>
    <definedName name="QB_ROW_71260" localSheetId="10" hidden="1">'2020 Budget'!$G$55</definedName>
    <definedName name="QB_ROW_71260" localSheetId="11" hidden="1">'2021 Budget'!$G$62</definedName>
    <definedName name="QB_ROW_71260" localSheetId="12" hidden="1">'2022 Forecast Fix'!$G$61</definedName>
    <definedName name="QB_ROW_71260" localSheetId="13" hidden="1">'2022 Forecast Worksheet'!$G$50</definedName>
    <definedName name="QB_ROW_71260" localSheetId="5" hidden="1">'2023 Ops Budget'!$G$46</definedName>
    <definedName name="QB_ROW_71260" localSheetId="8" hidden="1">'OPS Actl 2019-2022'!$G$49</definedName>
    <definedName name="QB_ROW_71260" localSheetId="9" hidden="1">'OPS Actl 21-22'!$G$48</definedName>
    <definedName name="QB_ROW_72050" localSheetId="10" hidden="1">'2020 Budget'!$F$54</definedName>
    <definedName name="QB_ROW_72050" localSheetId="11" hidden="1">'2021 Budget'!$F$61</definedName>
    <definedName name="QB_ROW_72050" localSheetId="12" hidden="1">'2022 Forecast Fix'!$F$60</definedName>
    <definedName name="QB_ROW_72050" localSheetId="13" hidden="1">'2022 Forecast Worksheet'!$F$49</definedName>
    <definedName name="QB_ROW_72050" localSheetId="5" hidden="1">'2023 Ops Budget'!$F$45</definedName>
    <definedName name="QB_ROW_72050" localSheetId="8" hidden="1">'OPS Actl 2019-2022'!$F$48</definedName>
    <definedName name="QB_ROW_72050" localSheetId="9" hidden="1">'OPS Actl 21-22'!$F$47</definedName>
    <definedName name="QB_ROW_72260" localSheetId="10" hidden="1">'2020 Budget'!$G$56</definedName>
    <definedName name="QB_ROW_72260" localSheetId="11" hidden="1">'2021 Budget'!$G$63</definedName>
    <definedName name="QB_ROW_72260" localSheetId="12" hidden="1">'2022 Forecast Fix'!$G$62</definedName>
    <definedName name="QB_ROW_72260" localSheetId="13" hidden="1">'2022 Forecast Worksheet'!$G$51</definedName>
    <definedName name="QB_ROW_72260" localSheetId="5" hidden="1">'2023 Ops Budget'!$G$47</definedName>
    <definedName name="QB_ROW_72260" localSheetId="8" hidden="1">'OPS Actl 2019-2022'!$G$50</definedName>
    <definedName name="QB_ROW_72260" localSheetId="9" hidden="1">'OPS Actl 21-22'!$G$49</definedName>
    <definedName name="QB_ROW_72350" localSheetId="10" hidden="1">'2020 Budget'!$F$57</definedName>
    <definedName name="QB_ROW_72350" localSheetId="11" hidden="1">'2021 Budget'!$F$64</definedName>
    <definedName name="QB_ROW_72350" localSheetId="12" hidden="1">'2022 Forecast Fix'!$F$63</definedName>
    <definedName name="QB_ROW_72350" localSheetId="13" hidden="1">'2022 Forecast Worksheet'!$F$52</definedName>
    <definedName name="QB_ROW_72350" localSheetId="5" hidden="1">'2023 Ops Budget'!$F$48</definedName>
    <definedName name="QB_ROW_72350" localSheetId="8" hidden="1">'OPS Actl 2019-2022'!$F$51</definedName>
    <definedName name="QB_ROW_72350" localSheetId="9" hidden="1">'OPS Actl 21-22'!$F$50</definedName>
    <definedName name="QB_ROW_73250" localSheetId="10" hidden="1">'2020 Budget'!$F$53</definedName>
    <definedName name="QB_ROW_73250" localSheetId="11" hidden="1">'2021 Budget'!$F$60</definedName>
    <definedName name="QB_ROW_73250" localSheetId="12" hidden="1">'2022 Forecast Fix'!$F$59</definedName>
    <definedName name="QB_ROW_73250" localSheetId="13" hidden="1">'2022 Forecast Worksheet'!$F$48</definedName>
    <definedName name="QB_ROW_73250" localSheetId="5" hidden="1">'2023 Ops Budget'!$F$44</definedName>
    <definedName name="QB_ROW_73250" localSheetId="8" hidden="1">'OPS Actl 2019-2022'!$F$47</definedName>
    <definedName name="QB_ROW_73250" localSheetId="9" hidden="1">'OPS Actl 21-22'!$F$46</definedName>
    <definedName name="QB_ROW_74250" localSheetId="10" hidden="1">'2020 Budget'!$F$48</definedName>
    <definedName name="QB_ROW_74250" localSheetId="11" hidden="1">'2021 Budget'!$F$54</definedName>
    <definedName name="QB_ROW_74250" localSheetId="12" hidden="1">'2022 Forecast Fix'!$F$53</definedName>
    <definedName name="QB_ROW_74250" localSheetId="13" hidden="1">'2022 Forecast Worksheet'!$F$42</definedName>
    <definedName name="QB_ROW_74250" localSheetId="5" hidden="1">'2023 Ops Budget'!$F$38</definedName>
    <definedName name="QB_ROW_74250" localSheetId="8" hidden="1">'OPS Actl 2019-2022'!$F$42</definedName>
    <definedName name="QB_ROW_74250" localSheetId="9" hidden="1">'OPS Actl 21-22'!$F$41</definedName>
    <definedName name="QB_ROW_75250" localSheetId="10" hidden="1">'2020 Budget'!$F$58</definedName>
    <definedName name="QB_ROW_75250" localSheetId="11" hidden="1">'2021 Budget'!$F$65</definedName>
    <definedName name="QB_ROW_75250" localSheetId="12" hidden="1">'2022 Forecast Fix'!$F$64</definedName>
    <definedName name="QB_ROW_75250" localSheetId="13" hidden="1">'2022 Forecast Worksheet'!$F$53</definedName>
    <definedName name="QB_ROW_75250" localSheetId="5" hidden="1">'2023 Ops Budget'!$F$49</definedName>
    <definedName name="QB_ROW_75250" localSheetId="8" hidden="1">'OPS Actl 2019-2022'!$F$52</definedName>
    <definedName name="QB_ROW_75250" localSheetId="9" hidden="1">'OPS Actl 21-22'!$F$51</definedName>
    <definedName name="QB_ROW_77350" localSheetId="6" hidden="1">'2023 Capital DRAFT Budget'!#REF!</definedName>
    <definedName name="QB_ROW_77350" localSheetId="3" hidden="1">'2024 Capital DRAFT Budget'!#REF!</definedName>
    <definedName name="QB_ROW_82040" localSheetId="10" hidden="1">'2020 Budget'!$E$61</definedName>
    <definedName name="QB_ROW_82040" localSheetId="11" hidden="1">'2021 Budget'!$E$68</definedName>
    <definedName name="QB_ROW_82040" localSheetId="12" hidden="1">'2022 Forecast Fix'!$E$67</definedName>
    <definedName name="QB_ROW_82040" localSheetId="13" hidden="1">'2022 Forecast Worksheet'!$E$56</definedName>
    <definedName name="QB_ROW_82040" localSheetId="5" hidden="1">'2023 Ops Budget'!$E$52</definedName>
    <definedName name="QB_ROW_82040" localSheetId="8" hidden="1">'OPS Actl 2019-2022'!$E$55</definedName>
    <definedName name="QB_ROW_82040" localSheetId="9" hidden="1">'OPS Actl 21-22'!$E$54</definedName>
    <definedName name="QB_ROW_82340" localSheetId="10" hidden="1">'2020 Budget'!$E$66</definedName>
    <definedName name="QB_ROW_82340" localSheetId="11" hidden="1">'2021 Budget'!$E$73</definedName>
    <definedName name="QB_ROW_82340" localSheetId="12" hidden="1">'2022 Forecast Fix'!$E$72</definedName>
    <definedName name="QB_ROW_82340" localSheetId="13" hidden="1">'2022 Forecast Worksheet'!$E$60</definedName>
    <definedName name="QB_ROW_82340" localSheetId="6" hidden="1">'2023 Capital DRAFT Budget'!#REF!</definedName>
    <definedName name="QB_ROW_82340" localSheetId="5" hidden="1">'2023 Ops Budget'!$E$57</definedName>
    <definedName name="QB_ROW_82340" localSheetId="3" hidden="1">'2024 Capital DRAFT Budget'!#REF!</definedName>
    <definedName name="QB_ROW_82340" localSheetId="8" hidden="1">'OPS Actl 2019-2022'!$E$59</definedName>
    <definedName name="QB_ROW_82340" localSheetId="9" hidden="1">'OPS Actl 21-22'!$E$58</definedName>
    <definedName name="QB_ROW_85250" localSheetId="10" hidden="1">'2020 Budget'!$F$62</definedName>
    <definedName name="QB_ROW_85250" localSheetId="11" hidden="1">'2021 Budget'!$F$69</definedName>
    <definedName name="QB_ROW_85250" localSheetId="12" hidden="1">'2022 Forecast Fix'!$F$68</definedName>
    <definedName name="QB_ROW_85250" localSheetId="13" hidden="1">'2022 Forecast Worksheet'!$F$57</definedName>
    <definedName name="QB_ROW_85250" localSheetId="5" hidden="1">'2023 Ops Budget'!$F$53</definedName>
    <definedName name="QB_ROW_85250" localSheetId="8" hidden="1">'OPS Actl 2019-2022'!$F$56</definedName>
    <definedName name="QB_ROW_85250" localSheetId="9" hidden="1">'OPS Actl 21-22'!$F$55</definedName>
    <definedName name="QB_ROW_86250" localSheetId="10" hidden="1">'2020 Budget'!$F$63</definedName>
    <definedName name="QB_ROW_86250" localSheetId="11" hidden="1">'2021 Budget'!$F$70</definedName>
    <definedName name="QB_ROW_86250" localSheetId="12" hidden="1">'2022 Forecast Fix'!$F$69</definedName>
    <definedName name="QB_ROW_86250" localSheetId="13" hidden="1">'2022 Forecast Worksheet'!$F$58</definedName>
    <definedName name="QB_ROW_86250" localSheetId="5" hidden="1">'2023 Ops Budget'!$F$54</definedName>
    <definedName name="QB_ROW_86250" localSheetId="8" hidden="1">'OPS Actl 2019-2022'!$F$57</definedName>
    <definedName name="QB_ROW_86250" localSheetId="9" hidden="1">'OPS Actl 21-22'!$F$56</definedName>
    <definedName name="QB_ROW_86321" localSheetId="10" hidden="1">'2020 Budget'!$C$24</definedName>
    <definedName name="QB_ROW_86321" localSheetId="11" hidden="1">'2021 Budget'!$C$29</definedName>
    <definedName name="QB_ROW_86321" localSheetId="12" hidden="1">'2022 Forecast Fix'!$C$29</definedName>
    <definedName name="QB_ROW_86321" localSheetId="13" hidden="1">'2022 Forecast Worksheet'!$C$19</definedName>
    <definedName name="QB_ROW_86321" localSheetId="6" hidden="1">'2023 Capital DRAFT Budget'!#REF!</definedName>
    <definedName name="QB_ROW_86321" localSheetId="5" hidden="1">'2023 Ops Budget'!#REF!</definedName>
    <definedName name="QB_ROW_86321" localSheetId="3" hidden="1">'2024 Capital DRAFT Budget'!#REF!</definedName>
    <definedName name="QB_ROW_86321" localSheetId="4" hidden="1">'CAP IMPROVE Actl 2019-2022'!$C$22</definedName>
    <definedName name="QB_ROW_86321" localSheetId="7" hidden="1">'Monthly Act Capital funds 2022'!$C$21</definedName>
    <definedName name="QB_ROW_86321" localSheetId="8" hidden="1">'OPS Actl 2019-2022'!$C$19</definedName>
    <definedName name="QB_ROW_86321" localSheetId="9" hidden="1">'OPS Actl 21-22'!$C$18</definedName>
    <definedName name="QB_ROW_87050" localSheetId="10" hidden="1">'2020 Budget'!$F$49</definedName>
    <definedName name="QB_ROW_87050" localSheetId="11" hidden="1">'2021 Budget'!$F$55</definedName>
    <definedName name="QB_ROW_87050" localSheetId="12" hidden="1">'2022 Forecast Fix'!$F$54</definedName>
    <definedName name="QB_ROW_87050" localSheetId="13" hidden="1">'2022 Forecast Worksheet'!$F$43</definedName>
    <definedName name="QB_ROW_87050" localSheetId="5" hidden="1">'2023 Ops Budget'!$F$39</definedName>
    <definedName name="QB_ROW_87050" localSheetId="8" hidden="1">'OPS Actl 2019-2022'!$F$43</definedName>
    <definedName name="QB_ROW_87050" localSheetId="9" hidden="1">'OPS Actl 21-22'!$F$42</definedName>
    <definedName name="QB_ROW_87260" localSheetId="11" hidden="1">'2021 Budget'!$G$58</definedName>
    <definedName name="QB_ROW_87260" localSheetId="5" hidden="1">'2023 Ops Budget'!#REF!</definedName>
    <definedName name="QB_ROW_87331" localSheetId="6" hidden="1">'2023 Capital DRAFT Budget'!#REF!</definedName>
    <definedName name="QB_ROW_87331" localSheetId="3" hidden="1">'2024 Capital DRAFT Budget'!#REF!</definedName>
    <definedName name="QB_ROW_87350" localSheetId="10" hidden="1">'2020 Budget'!$F$52</definedName>
    <definedName name="QB_ROW_87350" localSheetId="11" hidden="1">'2021 Budget'!$F$59</definedName>
    <definedName name="QB_ROW_87350" localSheetId="12" hidden="1">'2022 Forecast Fix'!$F$58</definedName>
    <definedName name="QB_ROW_87350" localSheetId="13" hidden="1">'2022 Forecast Worksheet'!$F$47</definedName>
    <definedName name="QB_ROW_87350" localSheetId="5" hidden="1">'2023 Ops Budget'!$F$43</definedName>
    <definedName name="QB_ROW_87350" localSheetId="8" hidden="1">'OPS Actl 2019-2022'!$F$46</definedName>
    <definedName name="QB_ROW_87350" localSheetId="9" hidden="1">'OPS Actl 21-22'!$F$45</definedName>
    <definedName name="QB_ROW_88260" localSheetId="10" hidden="1">'2020 Budget'!$G$50</definedName>
    <definedName name="QB_ROW_88260" localSheetId="11" hidden="1">'2021 Budget'!$G$56</definedName>
    <definedName name="QB_ROW_88260" localSheetId="12" hidden="1">'2022 Forecast Fix'!$G$55</definedName>
    <definedName name="QB_ROW_88260" localSheetId="13" hidden="1">'2022 Forecast Worksheet'!$G$44</definedName>
    <definedName name="QB_ROW_88260" localSheetId="5" hidden="1">'2023 Ops Budget'!$G$40</definedName>
    <definedName name="QB_ROW_88260" localSheetId="8" hidden="1">'OPS Actl 2019-2022'!$G$44</definedName>
    <definedName name="QB_ROW_88260" localSheetId="9" hidden="1">'OPS Actl 21-22'!$G$43</definedName>
    <definedName name="QB_ROW_89260" localSheetId="10" hidden="1">'2020 Budget'!$G$51</definedName>
    <definedName name="QB_ROW_89260" localSheetId="11" hidden="1">'2021 Budget'!$G$57</definedName>
    <definedName name="QB_ROW_89260" localSheetId="12" hidden="1">'2022 Forecast Fix'!$G$56</definedName>
    <definedName name="QB_ROW_89260" localSheetId="13" hidden="1">'2022 Forecast Worksheet'!$G$46</definedName>
    <definedName name="QB_ROW_89260" localSheetId="5" hidden="1">'2023 Ops Budget'!$G$41</definedName>
    <definedName name="QB_ROW_89260" localSheetId="8" hidden="1">'OPS Actl 2019-2022'!$G$45</definedName>
    <definedName name="QB_ROW_89260" localSheetId="9" hidden="1">'OPS Actl 21-22'!$G$44</definedName>
    <definedName name="QB_ROW_90260" localSheetId="10" hidden="1">'2020 Budget'!$G$36</definedName>
    <definedName name="QB_ROW_90260" localSheetId="11" hidden="1">'2021 Budget'!$G$42</definedName>
    <definedName name="QB_ROW_90260" localSheetId="12" hidden="1">'2022 Forecast Fix'!$G$41</definedName>
    <definedName name="QB_ROW_90260" localSheetId="13" hidden="1">'2022 Forecast Worksheet'!$G$31</definedName>
    <definedName name="QB_ROW_90260" localSheetId="5" hidden="1">'2023 Ops Budget'!$G$28</definedName>
    <definedName name="QB_ROW_90260" localSheetId="8" hidden="1">'OPS Actl 2019-2022'!$G$31</definedName>
    <definedName name="QB_ROW_90260" localSheetId="9" hidden="1">'OPS Actl 21-22'!$G$30</definedName>
    <definedName name="QB_ROW_91260" localSheetId="12" hidden="1">'2022 Forecast Fix'!$G$57</definedName>
    <definedName name="QB_ROW_91260" localSheetId="5" hidden="1">'2023 Ops Budget'!$G$42</definedName>
    <definedName name="QB_ROW_94240" localSheetId="10" hidden="1">'2020 Budget'!$E$77</definedName>
    <definedName name="QB_ROW_94240" localSheetId="11" hidden="1">'2021 Budget'!$E$84</definedName>
    <definedName name="QB_ROW_94240" localSheetId="12" hidden="1">'2022 Forecast Fix'!$E$81</definedName>
    <definedName name="QB_ROW_94240" localSheetId="6" hidden="1">'2023 Capital DRAFT Budget'!$E$75</definedName>
    <definedName name="QB_ROW_94240" localSheetId="3" hidden="1">'2024 Capital DRAFT Budget'!$E$81</definedName>
    <definedName name="QB_ROW_94240" localSheetId="4" hidden="1">'CAP IMPROVE Actl 2019-2022'!$E$39</definedName>
    <definedName name="QB_ROW_97040" localSheetId="10" hidden="1">'2020 Budget'!$E$5</definedName>
    <definedName name="QB_ROW_97040" localSheetId="11" hidden="1">'2021 Budget'!$E$5</definedName>
    <definedName name="QB_ROW_97040" localSheetId="12" hidden="1">'2022 Forecast Fix'!$E$5</definedName>
    <definedName name="QB_ROW_97040" localSheetId="13" hidden="1">'2022 Forecast Worksheet'!$E$4</definedName>
    <definedName name="QB_ROW_97040" localSheetId="5" hidden="1">'2023 Ops Budget'!$E$5</definedName>
    <definedName name="QB_ROW_97040" localSheetId="4" hidden="1">'CAP IMPROVE Actl 2019-2022'!$E$4</definedName>
    <definedName name="QB_ROW_97040" localSheetId="7" hidden="1">'Monthly Act Capital funds 2022'!$E$4</definedName>
    <definedName name="QB_ROW_97040" localSheetId="8" hidden="1">'OPS Actl 2019-2022'!$E$4</definedName>
    <definedName name="QB_ROW_97040" localSheetId="9" hidden="1">'OPS Actl 21-22'!$E$5</definedName>
    <definedName name="QB_ROW_97340" localSheetId="10" hidden="1">'2020 Budget'!$E$12</definedName>
    <definedName name="QB_ROW_97340" localSheetId="11" hidden="1">'2021 Budget'!$E$11</definedName>
    <definedName name="QB_ROW_97340" localSheetId="12" hidden="1">'2022 Forecast Fix'!$E$11</definedName>
    <definedName name="QB_ROW_97340" localSheetId="13" hidden="1">'2022 Forecast Worksheet'!$E$10</definedName>
    <definedName name="QB_ROW_97340" localSheetId="6" hidden="1">'2023 Capital DRAFT Budget'!$D$7</definedName>
    <definedName name="QB_ROW_97340" localSheetId="5" hidden="1">'2023 Ops Budget'!$E$11</definedName>
    <definedName name="QB_ROW_97340" localSheetId="3" hidden="1">'2024 Capital DRAFT Budget'!$D$7</definedName>
    <definedName name="QB_ROW_97340" localSheetId="4" hidden="1">'CAP IMPROVE Actl 2019-2022'!$E$8</definedName>
    <definedName name="QB_ROW_97340" localSheetId="7" hidden="1">'Monthly Act Capital funds 2022'!$E$8</definedName>
    <definedName name="QB_ROW_97340" localSheetId="8" hidden="1">'OPS Actl 2019-2022'!$E$10</definedName>
    <definedName name="QB_ROW_97340" localSheetId="9" hidden="1">'OPS Actl 21-22'!$E$10</definedName>
    <definedName name="QBCANSUPPORTUPDATE" localSheetId="10">TRUE</definedName>
    <definedName name="QBCANSUPPORTUPDATE" localSheetId="11">TRUE</definedName>
    <definedName name="QBCANSUPPORTUPDATE" localSheetId="12">TRUE</definedName>
    <definedName name="QBCANSUPPORTUPDATE" localSheetId="13">TRUE</definedName>
    <definedName name="QBCANSUPPORTUPDATE" localSheetId="6">TRUE</definedName>
    <definedName name="QBCANSUPPORTUPDATE" localSheetId="5">TRUE</definedName>
    <definedName name="QBCANSUPPORTUPDATE" localSheetId="3">TRUE</definedName>
    <definedName name="QBCANSUPPORTUPDATE" localSheetId="4">TRUE</definedName>
    <definedName name="QBCANSUPPORTUPDATE" localSheetId="7">TRUE</definedName>
    <definedName name="QBCANSUPPORTUPDATE" localSheetId="8">TRUE</definedName>
    <definedName name="QBCANSUPPORTUPDATE" localSheetId="9">TRUE</definedName>
    <definedName name="QBCOMPANYFILENAME" localSheetId="10">"Z:\Docton Water Tax 2015 Working File 11.10.14.qbw"</definedName>
    <definedName name="QBCOMPANYFILENAME" localSheetId="11">"Z:\Docton Water Tax 2015 Working File 11.10.14.qbw"</definedName>
    <definedName name="QBCOMPANYFILENAME" localSheetId="12">"Z:\Docton Water Tax 2015 Working File 11.10.14.qbw"</definedName>
    <definedName name="QBCOMPANYFILENAME" localSheetId="13">"Z:\Docton Water Tax 2015 Working File 11.10.14.qbw"</definedName>
    <definedName name="QBCOMPANYFILENAME" localSheetId="6">"Z:\Docton Water Tax 2015 Working File 11.10.14.qbw"</definedName>
    <definedName name="QBCOMPANYFILENAME" localSheetId="5">"Z:\Docton Water Tax 2015 Working File 11.10.14.qbw"</definedName>
    <definedName name="QBCOMPANYFILENAME" localSheetId="3">"Z:\Docton Water Tax 2015 Working File 11.10.14.qbw"</definedName>
    <definedName name="QBCOMPANYFILENAME" localSheetId="4">"Z:\Docton Water Tax 2015 Working File 11.10.14.qbw"</definedName>
    <definedName name="QBCOMPANYFILENAME" localSheetId="7">"Z:\Docton Water Tax 2015 Working File 11.10.14.qbw"</definedName>
    <definedName name="QBCOMPANYFILENAME" localSheetId="8">"Z:\Docton Water Tax 2015 Working File 11.10.14.qbw"</definedName>
    <definedName name="QBCOMPANYFILENAME" localSheetId="9">"Z:\Docton Water Tax 2015 Working File 11.10.14.qbw"</definedName>
    <definedName name="QBENDDATE" localSheetId="10">20200630</definedName>
    <definedName name="QBENDDATE" localSheetId="11">20210630</definedName>
    <definedName name="QBENDDATE" localSheetId="12">20220630</definedName>
    <definedName name="QBENDDATE" localSheetId="13">20211231</definedName>
    <definedName name="QBENDDATE" localSheetId="6">20220630</definedName>
    <definedName name="QBENDDATE" localSheetId="5">20220630</definedName>
    <definedName name="QBENDDATE" localSheetId="3">20220630</definedName>
    <definedName name="QBENDDATE" localSheetId="4">20211231</definedName>
    <definedName name="QBENDDATE" localSheetId="7">20220331</definedName>
    <definedName name="QBENDDATE" localSheetId="8">20211231</definedName>
    <definedName name="QBENDDATE" localSheetId="9">20220630</definedName>
    <definedName name="QBHEADERSONSCREEN" localSheetId="10">FALSE</definedName>
    <definedName name="QBHEADERSONSCREEN" localSheetId="11">FALSE</definedName>
    <definedName name="QBHEADERSONSCREEN" localSheetId="12">FALSE</definedName>
    <definedName name="QBHEADERSONSCREEN" localSheetId="13">FALSE</definedName>
    <definedName name="QBHEADERSONSCREEN" localSheetId="6">FALSE</definedName>
    <definedName name="QBHEADERSONSCREEN" localSheetId="5">FALSE</definedName>
    <definedName name="QBHEADERSONSCREEN" localSheetId="3">FALSE</definedName>
    <definedName name="QBHEADERSONSCREEN" localSheetId="4">FALSE</definedName>
    <definedName name="QBHEADERSONSCREEN" localSheetId="7">FALSE</definedName>
    <definedName name="QBHEADERSONSCREEN" localSheetId="8">FALSE</definedName>
    <definedName name="QBHEADERSONSCREEN" localSheetId="9">FALSE</definedName>
    <definedName name="QBMETADATASIZE" localSheetId="10">5936</definedName>
    <definedName name="QBMETADATASIZE" localSheetId="11">5936</definedName>
    <definedName name="QBMETADATASIZE" localSheetId="12">5936</definedName>
    <definedName name="QBMETADATASIZE" localSheetId="13">5924</definedName>
    <definedName name="QBMETADATASIZE" localSheetId="6">5932</definedName>
    <definedName name="QBMETADATASIZE" localSheetId="5">5924</definedName>
    <definedName name="QBMETADATASIZE" localSheetId="3">5932</definedName>
    <definedName name="QBMETADATASIZE" localSheetId="4">5924</definedName>
    <definedName name="QBMETADATASIZE" localSheetId="7">5932</definedName>
    <definedName name="QBMETADATASIZE" localSheetId="8">5924</definedName>
    <definedName name="QBMETADATASIZE" localSheetId="9">5924</definedName>
    <definedName name="QBPRESERVECOLOR" localSheetId="10">TRUE</definedName>
    <definedName name="QBPRESERVECOLOR" localSheetId="11">TRUE</definedName>
    <definedName name="QBPRESERVECOLOR" localSheetId="12">TRUE</definedName>
    <definedName name="QBPRESERVECOLOR" localSheetId="13">TRUE</definedName>
    <definedName name="QBPRESERVECOLOR" localSheetId="6">TRUE</definedName>
    <definedName name="QBPRESERVECOLOR" localSheetId="5">TRUE</definedName>
    <definedName name="QBPRESERVECOLOR" localSheetId="3">TRUE</definedName>
    <definedName name="QBPRESERVECOLOR" localSheetId="4">TRUE</definedName>
    <definedName name="QBPRESERVECOLOR" localSheetId="7">TRUE</definedName>
    <definedName name="QBPRESERVECOLOR" localSheetId="8">TRUE</definedName>
    <definedName name="QBPRESERVECOLOR" localSheetId="9">TRUE</definedName>
    <definedName name="QBPRESERVEFONT" localSheetId="10">TRUE</definedName>
    <definedName name="QBPRESERVEFONT" localSheetId="11">TRUE</definedName>
    <definedName name="QBPRESERVEFONT" localSheetId="12">TRUE</definedName>
    <definedName name="QBPRESERVEFONT" localSheetId="13">TRUE</definedName>
    <definedName name="QBPRESERVEFONT" localSheetId="6">TRUE</definedName>
    <definedName name="QBPRESERVEFONT" localSheetId="5">TRUE</definedName>
    <definedName name="QBPRESERVEFONT" localSheetId="3">TRUE</definedName>
    <definedName name="QBPRESERVEFONT" localSheetId="4">TRUE</definedName>
    <definedName name="QBPRESERVEFONT" localSheetId="7">TRUE</definedName>
    <definedName name="QBPRESERVEFONT" localSheetId="8">TRUE</definedName>
    <definedName name="QBPRESERVEFONT" localSheetId="9">TRUE</definedName>
    <definedName name="QBPRESERVEROWHEIGHT" localSheetId="10">TRUE</definedName>
    <definedName name="QBPRESERVEROWHEIGHT" localSheetId="11">TRUE</definedName>
    <definedName name="QBPRESERVEROWHEIGHT" localSheetId="12">TRUE</definedName>
    <definedName name="QBPRESERVEROWHEIGHT" localSheetId="13">TRUE</definedName>
    <definedName name="QBPRESERVEROWHEIGHT" localSheetId="6">TRUE</definedName>
    <definedName name="QBPRESERVEROWHEIGHT" localSheetId="5">TRUE</definedName>
    <definedName name="QBPRESERVEROWHEIGHT" localSheetId="3">TRUE</definedName>
    <definedName name="QBPRESERVEROWHEIGHT" localSheetId="4">TRUE</definedName>
    <definedName name="QBPRESERVEROWHEIGHT" localSheetId="7">TRUE</definedName>
    <definedName name="QBPRESERVEROWHEIGHT" localSheetId="8">TRUE</definedName>
    <definedName name="QBPRESERVEROWHEIGHT" localSheetId="9">TRUE</definedName>
    <definedName name="QBPRESERVESPACE" localSheetId="10">TRUE</definedName>
    <definedName name="QBPRESERVESPACE" localSheetId="11">TRUE</definedName>
    <definedName name="QBPRESERVESPACE" localSheetId="12">TRUE</definedName>
    <definedName name="QBPRESERVESPACE" localSheetId="13">TRUE</definedName>
    <definedName name="QBPRESERVESPACE" localSheetId="6">TRUE</definedName>
    <definedName name="QBPRESERVESPACE" localSheetId="5">TRUE</definedName>
    <definedName name="QBPRESERVESPACE" localSheetId="3">TRUE</definedName>
    <definedName name="QBPRESERVESPACE" localSheetId="4">TRUE</definedName>
    <definedName name="QBPRESERVESPACE" localSheetId="7">TRUE</definedName>
    <definedName name="QBPRESERVESPACE" localSheetId="8">TRUE</definedName>
    <definedName name="QBPRESERVESPACE" localSheetId="9">TRUE</definedName>
    <definedName name="QBREPORTCOLAXIS" localSheetId="10">19</definedName>
    <definedName name="QBREPORTCOLAXIS" localSheetId="11">19</definedName>
    <definedName name="QBREPORTCOLAXIS" localSheetId="12">19</definedName>
    <definedName name="QBREPORTCOLAXIS" localSheetId="13">6</definedName>
    <definedName name="QBREPORTCOLAXIS" localSheetId="6">19</definedName>
    <definedName name="QBREPORTCOLAXIS" localSheetId="5">8</definedName>
    <definedName name="QBREPORTCOLAXIS" localSheetId="3">19</definedName>
    <definedName name="QBREPORTCOLAXIS" localSheetId="4">6</definedName>
    <definedName name="QBREPORTCOLAXIS" localSheetId="7">6</definedName>
    <definedName name="QBREPORTCOLAXIS" localSheetId="8">6</definedName>
    <definedName name="QBREPORTCOLAXIS" localSheetId="9">6</definedName>
    <definedName name="QBREPORTCOMPANYID" localSheetId="10">"5baf03e0128d40ee89fe6c32ca9716ba"</definedName>
    <definedName name="QBREPORTCOMPANYID" localSheetId="11">"5baf03e0128d40ee89fe6c32ca9716ba"</definedName>
    <definedName name="QBREPORTCOMPANYID" localSheetId="12">"5baf03e0128d40ee89fe6c32ca9716ba"</definedName>
    <definedName name="QBREPORTCOMPANYID" localSheetId="13">"5baf03e0128d40ee89fe6c32ca9716ba"</definedName>
    <definedName name="QBREPORTCOMPANYID" localSheetId="6">"5baf03e0128d40ee89fe6c32ca9716ba"</definedName>
    <definedName name="QBREPORTCOMPANYID" localSheetId="5">"5baf03e0128d40ee89fe6c32ca9716ba"</definedName>
    <definedName name="QBREPORTCOMPANYID" localSheetId="3">"5baf03e0128d40ee89fe6c32ca9716ba"</definedName>
    <definedName name="QBREPORTCOMPANYID" localSheetId="4">"5baf03e0128d40ee89fe6c32ca9716ba"</definedName>
    <definedName name="QBREPORTCOMPANYID" localSheetId="7">"5baf03e0128d40ee89fe6c32ca9716ba"</definedName>
    <definedName name="QBREPORTCOMPANYID" localSheetId="8">"5baf03e0128d40ee89fe6c32ca9716ba"</definedName>
    <definedName name="QBREPORTCOMPANYID" localSheetId="9">"5baf03e0128d40ee89fe6c32ca9716ba"</definedName>
    <definedName name="QBREPORTCOMPARECOL_ANNUALBUDGET" localSheetId="10">FALSE</definedName>
    <definedName name="QBREPORTCOMPARECOL_ANNUALBUDGET" localSheetId="11">FALSE</definedName>
    <definedName name="QBREPORTCOMPARECOL_ANNUALBUDGET" localSheetId="12">FALSE</definedName>
    <definedName name="QBREPORTCOMPARECOL_ANNUALBUDGET" localSheetId="13">FALSE</definedName>
    <definedName name="QBREPORTCOMPARECOL_ANNUALBUDGET" localSheetId="6">FALSE</definedName>
    <definedName name="QBREPORTCOMPARECOL_ANNUALBUDGET" localSheetId="5">FALSE</definedName>
    <definedName name="QBREPORTCOMPARECOL_ANNUALBUDGET" localSheetId="3">FALSE</definedName>
    <definedName name="QBREPORTCOMPARECOL_ANNUALBUDGET" localSheetId="4">FALSE</definedName>
    <definedName name="QBREPORTCOMPARECOL_ANNUALBUDGET" localSheetId="7">FALSE</definedName>
    <definedName name="QBREPORTCOMPARECOL_ANNUALBUDGET" localSheetId="8">FALSE</definedName>
    <definedName name="QBREPORTCOMPARECOL_ANNUALBUDGET" localSheetId="9">FALSE</definedName>
    <definedName name="QBREPORTCOMPARECOL_AVGCOGS" localSheetId="10">FALSE</definedName>
    <definedName name="QBREPORTCOMPARECOL_AVGCOGS" localSheetId="11">FALSE</definedName>
    <definedName name="QBREPORTCOMPARECOL_AVGCOGS" localSheetId="12">FALSE</definedName>
    <definedName name="QBREPORTCOMPARECOL_AVGCOGS" localSheetId="13">FALSE</definedName>
    <definedName name="QBREPORTCOMPARECOL_AVGCOGS" localSheetId="6">FALSE</definedName>
    <definedName name="QBREPORTCOMPARECOL_AVGCOGS" localSheetId="5">FALSE</definedName>
    <definedName name="QBREPORTCOMPARECOL_AVGCOGS" localSheetId="3">FALSE</definedName>
    <definedName name="QBREPORTCOMPARECOL_AVGCOGS" localSheetId="4">FALSE</definedName>
    <definedName name="QBREPORTCOMPARECOL_AVGCOGS" localSheetId="7">FALSE</definedName>
    <definedName name="QBREPORTCOMPARECOL_AVGCOGS" localSheetId="8">FALSE</definedName>
    <definedName name="QBREPORTCOMPARECOL_AVGCOGS" localSheetId="9">FALSE</definedName>
    <definedName name="QBREPORTCOMPARECOL_AVGPRICE" localSheetId="10">FALSE</definedName>
    <definedName name="QBREPORTCOMPARECOL_AVGPRICE" localSheetId="11">FALSE</definedName>
    <definedName name="QBREPORTCOMPARECOL_AVGPRICE" localSheetId="12">FALSE</definedName>
    <definedName name="QBREPORTCOMPARECOL_AVGPRICE" localSheetId="13">FALSE</definedName>
    <definedName name="QBREPORTCOMPARECOL_AVGPRICE" localSheetId="6">FALSE</definedName>
    <definedName name="QBREPORTCOMPARECOL_AVGPRICE" localSheetId="5">FALSE</definedName>
    <definedName name="QBREPORTCOMPARECOL_AVGPRICE" localSheetId="3">FALSE</definedName>
    <definedName name="QBREPORTCOMPARECOL_AVGPRICE" localSheetId="4">FALSE</definedName>
    <definedName name="QBREPORTCOMPARECOL_AVGPRICE" localSheetId="7">FALSE</definedName>
    <definedName name="QBREPORTCOMPARECOL_AVGPRICE" localSheetId="8">FALSE</definedName>
    <definedName name="QBREPORTCOMPARECOL_AVGPRICE" localSheetId="9">FALSE</definedName>
    <definedName name="QBREPORTCOMPARECOL_BUDDIFF" localSheetId="10">FALSE</definedName>
    <definedName name="QBREPORTCOMPARECOL_BUDDIFF" localSheetId="11">FALSE</definedName>
    <definedName name="QBREPORTCOMPARECOL_BUDDIFF" localSheetId="12">FALSE</definedName>
    <definedName name="QBREPORTCOMPARECOL_BUDDIFF" localSheetId="13">FALSE</definedName>
    <definedName name="QBREPORTCOMPARECOL_BUDDIFF" localSheetId="6">FALSE</definedName>
    <definedName name="QBREPORTCOMPARECOL_BUDDIFF" localSheetId="5">TRUE</definedName>
    <definedName name="QBREPORTCOMPARECOL_BUDDIFF" localSheetId="3">FALSE</definedName>
    <definedName name="QBREPORTCOMPARECOL_BUDDIFF" localSheetId="4">FALSE</definedName>
    <definedName name="QBREPORTCOMPARECOL_BUDDIFF" localSheetId="7">FALSE</definedName>
    <definedName name="QBREPORTCOMPARECOL_BUDDIFF" localSheetId="8">FALSE</definedName>
    <definedName name="QBREPORTCOMPARECOL_BUDDIFF" localSheetId="9">FALSE</definedName>
    <definedName name="QBREPORTCOMPARECOL_BUDGET" localSheetId="10">TRUE</definedName>
    <definedName name="QBREPORTCOMPARECOL_BUDGET" localSheetId="11">TRUE</definedName>
    <definedName name="QBREPORTCOMPARECOL_BUDGET" localSheetId="12">TRUE</definedName>
    <definedName name="QBREPORTCOMPARECOL_BUDGET" localSheetId="13">FALSE</definedName>
    <definedName name="QBREPORTCOMPARECOL_BUDGET" localSheetId="6">FALSE</definedName>
    <definedName name="QBREPORTCOMPARECOL_BUDGET" localSheetId="5">TRUE</definedName>
    <definedName name="QBREPORTCOMPARECOL_BUDGET" localSheetId="3">FALSE</definedName>
    <definedName name="QBREPORTCOMPARECOL_BUDGET" localSheetId="4">FALSE</definedName>
    <definedName name="QBREPORTCOMPARECOL_BUDGET" localSheetId="7">FALSE</definedName>
    <definedName name="QBREPORTCOMPARECOL_BUDGET" localSheetId="8">FALSE</definedName>
    <definedName name="QBREPORTCOMPARECOL_BUDGET" localSheetId="9">FALSE</definedName>
    <definedName name="QBREPORTCOMPARECOL_BUDPCT" localSheetId="10">TRUE</definedName>
    <definedName name="QBREPORTCOMPARECOL_BUDPCT" localSheetId="11">TRUE</definedName>
    <definedName name="QBREPORTCOMPARECOL_BUDPCT" localSheetId="12">TRUE</definedName>
    <definedName name="QBREPORTCOMPARECOL_BUDPCT" localSheetId="13">FALSE</definedName>
    <definedName name="QBREPORTCOMPARECOL_BUDPCT" localSheetId="6">FALSE</definedName>
    <definedName name="QBREPORTCOMPARECOL_BUDPCT" localSheetId="5">FALSE</definedName>
    <definedName name="QBREPORTCOMPARECOL_BUDPCT" localSheetId="3">FALSE</definedName>
    <definedName name="QBREPORTCOMPARECOL_BUDPCT" localSheetId="4">FALSE</definedName>
    <definedName name="QBREPORTCOMPARECOL_BUDPCT" localSheetId="7">FALSE</definedName>
    <definedName name="QBREPORTCOMPARECOL_BUDPCT" localSheetId="8">FALSE</definedName>
    <definedName name="QBREPORTCOMPARECOL_BUDPCT" localSheetId="9">FALSE</definedName>
    <definedName name="QBREPORTCOMPARECOL_COGS" localSheetId="10">FALSE</definedName>
    <definedName name="QBREPORTCOMPARECOL_COGS" localSheetId="11">FALSE</definedName>
    <definedName name="QBREPORTCOMPARECOL_COGS" localSheetId="12">FALSE</definedName>
    <definedName name="QBREPORTCOMPARECOL_COGS" localSheetId="13">FALSE</definedName>
    <definedName name="QBREPORTCOMPARECOL_COGS" localSheetId="6">FALSE</definedName>
    <definedName name="QBREPORTCOMPARECOL_COGS" localSheetId="5">FALSE</definedName>
    <definedName name="QBREPORTCOMPARECOL_COGS" localSheetId="3">FALSE</definedName>
    <definedName name="QBREPORTCOMPARECOL_COGS" localSheetId="4">FALSE</definedName>
    <definedName name="QBREPORTCOMPARECOL_COGS" localSheetId="7">FALSE</definedName>
    <definedName name="QBREPORTCOMPARECOL_COGS" localSheetId="8">FALSE</definedName>
    <definedName name="QBREPORTCOMPARECOL_COGS" localSheetId="9">FALSE</definedName>
    <definedName name="QBREPORTCOMPARECOL_EXCLUDEAMOUNT" localSheetId="10">FALSE</definedName>
    <definedName name="QBREPORTCOMPARECOL_EXCLUDEAMOUNT" localSheetId="11">FALSE</definedName>
    <definedName name="QBREPORTCOMPARECOL_EXCLUDEAMOUNT" localSheetId="12">FALSE</definedName>
    <definedName name="QBREPORTCOMPARECOL_EXCLUDEAMOUNT" localSheetId="13">FALSE</definedName>
    <definedName name="QBREPORTCOMPARECOL_EXCLUDEAMOUNT" localSheetId="6">FALSE</definedName>
    <definedName name="QBREPORTCOMPARECOL_EXCLUDEAMOUNT" localSheetId="5">FALSE</definedName>
    <definedName name="QBREPORTCOMPARECOL_EXCLUDEAMOUNT" localSheetId="3">FALSE</definedName>
    <definedName name="QBREPORTCOMPARECOL_EXCLUDEAMOUNT" localSheetId="4">FALSE</definedName>
    <definedName name="QBREPORTCOMPARECOL_EXCLUDEAMOUNT" localSheetId="7">FALSE</definedName>
    <definedName name="QBREPORTCOMPARECOL_EXCLUDEAMOUNT" localSheetId="8">FALSE</definedName>
    <definedName name="QBREPORTCOMPARECOL_EXCLUDEAMOUNT" localSheetId="9">FALSE</definedName>
    <definedName name="QBREPORTCOMPARECOL_EXCLUDECURPERIOD" localSheetId="10">FALSE</definedName>
    <definedName name="QBREPORTCOMPARECOL_EXCLUDECURPERIOD" localSheetId="11">FALSE</definedName>
    <definedName name="QBREPORTCOMPARECOL_EXCLUDECURPERIOD" localSheetId="12">FALSE</definedName>
    <definedName name="QBREPORTCOMPARECOL_EXCLUDECURPERIOD" localSheetId="13">FALSE</definedName>
    <definedName name="QBREPORTCOMPARECOL_EXCLUDECURPERIOD" localSheetId="6">FALSE</definedName>
    <definedName name="QBREPORTCOMPARECOL_EXCLUDECURPERIOD" localSheetId="5">FALSE</definedName>
    <definedName name="QBREPORTCOMPARECOL_EXCLUDECURPERIOD" localSheetId="3">FALSE</definedName>
    <definedName name="QBREPORTCOMPARECOL_EXCLUDECURPERIOD" localSheetId="4">FALSE</definedName>
    <definedName name="QBREPORTCOMPARECOL_EXCLUDECURPERIOD" localSheetId="7">FALSE</definedName>
    <definedName name="QBREPORTCOMPARECOL_EXCLUDECURPERIOD" localSheetId="8">FALSE</definedName>
    <definedName name="QBREPORTCOMPARECOL_EXCLUDECURPERIOD" localSheetId="9">FALSE</definedName>
    <definedName name="QBREPORTCOMPARECOL_FORECAST" localSheetId="10">FALSE</definedName>
    <definedName name="QBREPORTCOMPARECOL_FORECAST" localSheetId="11">FALSE</definedName>
    <definedName name="QBREPORTCOMPARECOL_FORECAST" localSheetId="12">FALSE</definedName>
    <definedName name="QBREPORTCOMPARECOL_FORECAST" localSheetId="13">FALSE</definedName>
    <definedName name="QBREPORTCOMPARECOL_FORECAST" localSheetId="6">FALSE</definedName>
    <definedName name="QBREPORTCOMPARECOL_FORECAST" localSheetId="5">FALSE</definedName>
    <definedName name="QBREPORTCOMPARECOL_FORECAST" localSheetId="3">FALSE</definedName>
    <definedName name="QBREPORTCOMPARECOL_FORECAST" localSheetId="4">FALSE</definedName>
    <definedName name="QBREPORTCOMPARECOL_FORECAST" localSheetId="7">FALSE</definedName>
    <definedName name="QBREPORTCOMPARECOL_FORECAST" localSheetId="8">FALSE</definedName>
    <definedName name="QBREPORTCOMPARECOL_FORECAST" localSheetId="9">FALSE</definedName>
    <definedName name="QBREPORTCOMPARECOL_GROSSMARGIN" localSheetId="10">FALSE</definedName>
    <definedName name="QBREPORTCOMPARECOL_GROSSMARGIN" localSheetId="11">FALSE</definedName>
    <definedName name="QBREPORTCOMPARECOL_GROSSMARGIN" localSheetId="12">FALSE</definedName>
    <definedName name="QBREPORTCOMPARECOL_GROSSMARGIN" localSheetId="13">FALSE</definedName>
    <definedName name="QBREPORTCOMPARECOL_GROSSMARGIN" localSheetId="6">FALSE</definedName>
    <definedName name="QBREPORTCOMPARECOL_GROSSMARGIN" localSheetId="5">FALSE</definedName>
    <definedName name="QBREPORTCOMPARECOL_GROSSMARGIN" localSheetId="3">FALSE</definedName>
    <definedName name="QBREPORTCOMPARECOL_GROSSMARGIN" localSheetId="4">FALSE</definedName>
    <definedName name="QBREPORTCOMPARECOL_GROSSMARGIN" localSheetId="7">FALSE</definedName>
    <definedName name="QBREPORTCOMPARECOL_GROSSMARGIN" localSheetId="8">FALSE</definedName>
    <definedName name="QBREPORTCOMPARECOL_GROSSMARGIN" localSheetId="9">FALSE</definedName>
    <definedName name="QBREPORTCOMPARECOL_GROSSMARGINPCT" localSheetId="10">FALSE</definedName>
    <definedName name="QBREPORTCOMPARECOL_GROSSMARGINPCT" localSheetId="11">FALSE</definedName>
    <definedName name="QBREPORTCOMPARECOL_GROSSMARGINPCT" localSheetId="12">FALSE</definedName>
    <definedName name="QBREPORTCOMPARECOL_GROSSMARGINPCT" localSheetId="13">FALSE</definedName>
    <definedName name="QBREPORTCOMPARECOL_GROSSMARGINPCT" localSheetId="6">FALSE</definedName>
    <definedName name="QBREPORTCOMPARECOL_GROSSMARGINPCT" localSheetId="5">FALSE</definedName>
    <definedName name="QBREPORTCOMPARECOL_GROSSMARGINPCT" localSheetId="3">FALSE</definedName>
    <definedName name="QBREPORTCOMPARECOL_GROSSMARGINPCT" localSheetId="4">FALSE</definedName>
    <definedName name="QBREPORTCOMPARECOL_GROSSMARGINPCT" localSheetId="7">FALSE</definedName>
    <definedName name="QBREPORTCOMPARECOL_GROSSMARGINPCT" localSheetId="8">FALSE</definedName>
    <definedName name="QBREPORTCOMPARECOL_GROSSMARGINPCT" localSheetId="9">FALSE</definedName>
    <definedName name="QBREPORTCOMPARECOL_HOURS" localSheetId="10">FALSE</definedName>
    <definedName name="QBREPORTCOMPARECOL_HOURS" localSheetId="11">FALSE</definedName>
    <definedName name="QBREPORTCOMPARECOL_HOURS" localSheetId="12">FALSE</definedName>
    <definedName name="QBREPORTCOMPARECOL_HOURS" localSheetId="13">FALSE</definedName>
    <definedName name="QBREPORTCOMPARECOL_HOURS" localSheetId="6">FALSE</definedName>
    <definedName name="QBREPORTCOMPARECOL_HOURS" localSheetId="5">FALSE</definedName>
    <definedName name="QBREPORTCOMPARECOL_HOURS" localSheetId="3">FALSE</definedName>
    <definedName name="QBREPORTCOMPARECOL_HOURS" localSheetId="4">FALSE</definedName>
    <definedName name="QBREPORTCOMPARECOL_HOURS" localSheetId="7">FALSE</definedName>
    <definedName name="QBREPORTCOMPARECOL_HOURS" localSheetId="8">FALSE</definedName>
    <definedName name="QBREPORTCOMPARECOL_HOURS" localSheetId="9">FALSE</definedName>
    <definedName name="QBREPORTCOMPARECOL_PCTCOL" localSheetId="10">FALSE</definedName>
    <definedName name="QBREPORTCOMPARECOL_PCTCOL" localSheetId="11">FALSE</definedName>
    <definedName name="QBREPORTCOMPARECOL_PCTCOL" localSheetId="12">FALSE</definedName>
    <definedName name="QBREPORTCOMPARECOL_PCTCOL" localSheetId="13">FALSE</definedName>
    <definedName name="QBREPORTCOMPARECOL_PCTCOL" localSheetId="6">FALSE</definedName>
    <definedName name="QBREPORTCOMPARECOL_PCTCOL" localSheetId="5">FALSE</definedName>
    <definedName name="QBREPORTCOMPARECOL_PCTCOL" localSheetId="3">FALSE</definedName>
    <definedName name="QBREPORTCOMPARECOL_PCTCOL" localSheetId="4">FALSE</definedName>
    <definedName name="QBREPORTCOMPARECOL_PCTCOL" localSheetId="7">FALSE</definedName>
    <definedName name="QBREPORTCOMPARECOL_PCTCOL" localSheetId="8">FALSE</definedName>
    <definedName name="QBREPORTCOMPARECOL_PCTCOL" localSheetId="9">FALSE</definedName>
    <definedName name="QBREPORTCOMPARECOL_PCTEXPENSE" localSheetId="10">FALSE</definedName>
    <definedName name="QBREPORTCOMPARECOL_PCTEXPENSE" localSheetId="11">FALSE</definedName>
    <definedName name="QBREPORTCOMPARECOL_PCTEXPENSE" localSheetId="12">FALSE</definedName>
    <definedName name="QBREPORTCOMPARECOL_PCTEXPENSE" localSheetId="13">FALSE</definedName>
    <definedName name="QBREPORTCOMPARECOL_PCTEXPENSE" localSheetId="6">FALSE</definedName>
    <definedName name="QBREPORTCOMPARECOL_PCTEXPENSE" localSheetId="5">FALSE</definedName>
    <definedName name="QBREPORTCOMPARECOL_PCTEXPENSE" localSheetId="3">FALSE</definedName>
    <definedName name="QBREPORTCOMPARECOL_PCTEXPENSE" localSheetId="4">FALSE</definedName>
    <definedName name="QBREPORTCOMPARECOL_PCTEXPENSE" localSheetId="7">FALSE</definedName>
    <definedName name="QBREPORTCOMPARECOL_PCTEXPENSE" localSheetId="8">FALSE</definedName>
    <definedName name="QBREPORTCOMPARECOL_PCTEXPENSE" localSheetId="9">FALSE</definedName>
    <definedName name="QBREPORTCOMPARECOL_PCTINCOME" localSheetId="10">FALSE</definedName>
    <definedName name="QBREPORTCOMPARECOL_PCTINCOME" localSheetId="11">FALSE</definedName>
    <definedName name="QBREPORTCOMPARECOL_PCTINCOME" localSheetId="12">FALSE</definedName>
    <definedName name="QBREPORTCOMPARECOL_PCTINCOME" localSheetId="13">FALSE</definedName>
    <definedName name="QBREPORTCOMPARECOL_PCTINCOME" localSheetId="6">FALSE</definedName>
    <definedName name="QBREPORTCOMPARECOL_PCTINCOME" localSheetId="5">FALSE</definedName>
    <definedName name="QBREPORTCOMPARECOL_PCTINCOME" localSheetId="3">FALSE</definedName>
    <definedName name="QBREPORTCOMPARECOL_PCTINCOME" localSheetId="4">FALSE</definedName>
    <definedName name="QBREPORTCOMPARECOL_PCTINCOME" localSheetId="7">FALSE</definedName>
    <definedName name="QBREPORTCOMPARECOL_PCTINCOME" localSheetId="8">FALSE</definedName>
    <definedName name="QBREPORTCOMPARECOL_PCTINCOME" localSheetId="9">FALSE</definedName>
    <definedName name="QBREPORTCOMPARECOL_PCTOFSALES" localSheetId="10">FALSE</definedName>
    <definedName name="QBREPORTCOMPARECOL_PCTOFSALES" localSheetId="11">FALSE</definedName>
    <definedName name="QBREPORTCOMPARECOL_PCTOFSALES" localSheetId="12">FALSE</definedName>
    <definedName name="QBREPORTCOMPARECOL_PCTOFSALES" localSheetId="13">FALSE</definedName>
    <definedName name="QBREPORTCOMPARECOL_PCTOFSALES" localSheetId="6">FALSE</definedName>
    <definedName name="QBREPORTCOMPARECOL_PCTOFSALES" localSheetId="5">FALSE</definedName>
    <definedName name="QBREPORTCOMPARECOL_PCTOFSALES" localSheetId="3">FALSE</definedName>
    <definedName name="QBREPORTCOMPARECOL_PCTOFSALES" localSheetId="4">FALSE</definedName>
    <definedName name="QBREPORTCOMPARECOL_PCTOFSALES" localSheetId="7">FALSE</definedName>
    <definedName name="QBREPORTCOMPARECOL_PCTOFSALES" localSheetId="8">FALSE</definedName>
    <definedName name="QBREPORTCOMPARECOL_PCTOFSALES" localSheetId="9">FALSE</definedName>
    <definedName name="QBREPORTCOMPARECOL_PCTROW" localSheetId="10">FALSE</definedName>
    <definedName name="QBREPORTCOMPARECOL_PCTROW" localSheetId="11">FALSE</definedName>
    <definedName name="QBREPORTCOMPARECOL_PCTROW" localSheetId="12">FALSE</definedName>
    <definedName name="QBREPORTCOMPARECOL_PCTROW" localSheetId="13">FALSE</definedName>
    <definedName name="QBREPORTCOMPARECOL_PCTROW" localSheetId="6">FALSE</definedName>
    <definedName name="QBREPORTCOMPARECOL_PCTROW" localSheetId="5">FALSE</definedName>
    <definedName name="QBREPORTCOMPARECOL_PCTROW" localSheetId="3">FALSE</definedName>
    <definedName name="QBREPORTCOMPARECOL_PCTROW" localSheetId="4">FALSE</definedName>
    <definedName name="QBREPORTCOMPARECOL_PCTROW" localSheetId="7">FALSE</definedName>
    <definedName name="QBREPORTCOMPARECOL_PCTROW" localSheetId="8">FALSE</definedName>
    <definedName name="QBREPORTCOMPARECOL_PCTROW" localSheetId="9">FALSE</definedName>
    <definedName name="QBREPORTCOMPARECOL_PPDIFF" localSheetId="10">FALSE</definedName>
    <definedName name="QBREPORTCOMPARECOL_PPDIFF" localSheetId="11">FALSE</definedName>
    <definedName name="QBREPORTCOMPARECOL_PPDIFF" localSheetId="12">FALSE</definedName>
    <definedName name="QBREPORTCOMPARECOL_PPDIFF" localSheetId="13">FALSE</definedName>
    <definedName name="QBREPORTCOMPARECOL_PPDIFF" localSheetId="6">FALSE</definedName>
    <definedName name="QBREPORTCOMPARECOL_PPDIFF" localSheetId="5">FALSE</definedName>
    <definedName name="QBREPORTCOMPARECOL_PPDIFF" localSheetId="3">FALSE</definedName>
    <definedName name="QBREPORTCOMPARECOL_PPDIFF" localSheetId="4">FALSE</definedName>
    <definedName name="QBREPORTCOMPARECOL_PPDIFF" localSheetId="7">FALSE</definedName>
    <definedName name="QBREPORTCOMPARECOL_PPDIFF" localSheetId="8">FALSE</definedName>
    <definedName name="QBREPORTCOMPARECOL_PPDIFF" localSheetId="9">FALSE</definedName>
    <definedName name="QBREPORTCOMPARECOL_PPPCT" localSheetId="10">FALSE</definedName>
    <definedName name="QBREPORTCOMPARECOL_PPPCT" localSheetId="11">FALSE</definedName>
    <definedName name="QBREPORTCOMPARECOL_PPPCT" localSheetId="12">FALSE</definedName>
    <definedName name="QBREPORTCOMPARECOL_PPPCT" localSheetId="13">FALSE</definedName>
    <definedName name="QBREPORTCOMPARECOL_PPPCT" localSheetId="6">FALSE</definedName>
    <definedName name="QBREPORTCOMPARECOL_PPPCT" localSheetId="5">FALSE</definedName>
    <definedName name="QBREPORTCOMPARECOL_PPPCT" localSheetId="3">FALSE</definedName>
    <definedName name="QBREPORTCOMPARECOL_PPPCT" localSheetId="4">FALSE</definedName>
    <definedName name="QBREPORTCOMPARECOL_PPPCT" localSheetId="7">FALSE</definedName>
    <definedName name="QBREPORTCOMPARECOL_PPPCT" localSheetId="8">FALSE</definedName>
    <definedName name="QBREPORTCOMPARECOL_PPPCT" localSheetId="9">FALSE</definedName>
    <definedName name="QBREPORTCOMPARECOL_PREVPERIOD" localSheetId="10">FALSE</definedName>
    <definedName name="QBREPORTCOMPARECOL_PREVPERIOD" localSheetId="11">FALSE</definedName>
    <definedName name="QBREPORTCOMPARECOL_PREVPERIOD" localSheetId="12">FALSE</definedName>
    <definedName name="QBREPORTCOMPARECOL_PREVPERIOD" localSheetId="13">FALSE</definedName>
    <definedName name="QBREPORTCOMPARECOL_PREVPERIOD" localSheetId="6">FALSE</definedName>
    <definedName name="QBREPORTCOMPARECOL_PREVPERIOD" localSheetId="5">FALSE</definedName>
    <definedName name="QBREPORTCOMPARECOL_PREVPERIOD" localSheetId="3">FALSE</definedName>
    <definedName name="QBREPORTCOMPARECOL_PREVPERIOD" localSheetId="4">FALSE</definedName>
    <definedName name="QBREPORTCOMPARECOL_PREVPERIOD" localSheetId="7">FALSE</definedName>
    <definedName name="QBREPORTCOMPARECOL_PREVPERIOD" localSheetId="8">FALSE</definedName>
    <definedName name="QBREPORTCOMPARECOL_PREVPERIOD" localSheetId="9">FALSE</definedName>
    <definedName name="QBREPORTCOMPARECOL_PREVYEAR" localSheetId="10">FALSE</definedName>
    <definedName name="QBREPORTCOMPARECOL_PREVYEAR" localSheetId="11">FALSE</definedName>
    <definedName name="QBREPORTCOMPARECOL_PREVYEAR" localSheetId="12">FALSE</definedName>
    <definedName name="QBREPORTCOMPARECOL_PREVYEAR" localSheetId="13">FALSE</definedName>
    <definedName name="QBREPORTCOMPARECOL_PREVYEAR" localSheetId="6">FALSE</definedName>
    <definedName name="QBREPORTCOMPARECOL_PREVYEAR" localSheetId="5">FALSE</definedName>
    <definedName name="QBREPORTCOMPARECOL_PREVYEAR" localSheetId="3">FALSE</definedName>
    <definedName name="QBREPORTCOMPARECOL_PREVYEAR" localSheetId="4">FALSE</definedName>
    <definedName name="QBREPORTCOMPARECOL_PREVYEAR" localSheetId="7">FALSE</definedName>
    <definedName name="QBREPORTCOMPARECOL_PREVYEAR" localSheetId="8">FALSE</definedName>
    <definedName name="QBREPORTCOMPARECOL_PREVYEAR" localSheetId="9">TRUE</definedName>
    <definedName name="QBREPORTCOMPARECOL_PYDIFF" localSheetId="10">FALSE</definedName>
    <definedName name="QBREPORTCOMPARECOL_PYDIFF" localSheetId="11">FALSE</definedName>
    <definedName name="QBREPORTCOMPARECOL_PYDIFF" localSheetId="12">FALSE</definedName>
    <definedName name="QBREPORTCOMPARECOL_PYDIFF" localSheetId="13">FALSE</definedName>
    <definedName name="QBREPORTCOMPARECOL_PYDIFF" localSheetId="6">FALSE</definedName>
    <definedName name="QBREPORTCOMPARECOL_PYDIFF" localSheetId="5">FALSE</definedName>
    <definedName name="QBREPORTCOMPARECOL_PYDIFF" localSheetId="3">FALSE</definedName>
    <definedName name="QBREPORTCOMPARECOL_PYDIFF" localSheetId="4">FALSE</definedName>
    <definedName name="QBREPORTCOMPARECOL_PYDIFF" localSheetId="7">FALSE</definedName>
    <definedName name="QBREPORTCOMPARECOL_PYDIFF" localSheetId="8">FALSE</definedName>
    <definedName name="QBREPORTCOMPARECOL_PYDIFF" localSheetId="9">FALSE</definedName>
    <definedName name="QBREPORTCOMPARECOL_PYPCT" localSheetId="10">FALSE</definedName>
    <definedName name="QBREPORTCOMPARECOL_PYPCT" localSheetId="11">FALSE</definedName>
    <definedName name="QBREPORTCOMPARECOL_PYPCT" localSheetId="12">FALSE</definedName>
    <definedName name="QBREPORTCOMPARECOL_PYPCT" localSheetId="13">FALSE</definedName>
    <definedName name="QBREPORTCOMPARECOL_PYPCT" localSheetId="6">FALSE</definedName>
    <definedName name="QBREPORTCOMPARECOL_PYPCT" localSheetId="5">FALSE</definedName>
    <definedName name="QBREPORTCOMPARECOL_PYPCT" localSheetId="3">FALSE</definedName>
    <definedName name="QBREPORTCOMPARECOL_PYPCT" localSheetId="4">FALSE</definedName>
    <definedName name="QBREPORTCOMPARECOL_PYPCT" localSheetId="7">FALSE</definedName>
    <definedName name="QBREPORTCOMPARECOL_PYPCT" localSheetId="8">FALSE</definedName>
    <definedName name="QBREPORTCOMPARECOL_PYPCT" localSheetId="9">FALSE</definedName>
    <definedName name="QBREPORTCOMPARECOL_QTY" localSheetId="10">FALSE</definedName>
    <definedName name="QBREPORTCOMPARECOL_QTY" localSheetId="11">FALSE</definedName>
    <definedName name="QBREPORTCOMPARECOL_QTY" localSheetId="12">FALSE</definedName>
    <definedName name="QBREPORTCOMPARECOL_QTY" localSheetId="13">FALSE</definedName>
    <definedName name="QBREPORTCOMPARECOL_QTY" localSheetId="6">FALSE</definedName>
    <definedName name="QBREPORTCOMPARECOL_QTY" localSheetId="5">FALSE</definedName>
    <definedName name="QBREPORTCOMPARECOL_QTY" localSheetId="3">FALSE</definedName>
    <definedName name="QBREPORTCOMPARECOL_QTY" localSheetId="4">FALSE</definedName>
    <definedName name="QBREPORTCOMPARECOL_QTY" localSheetId="7">FALSE</definedName>
    <definedName name="QBREPORTCOMPARECOL_QTY" localSheetId="8">FALSE</definedName>
    <definedName name="QBREPORTCOMPARECOL_QTY" localSheetId="9">FALSE</definedName>
    <definedName name="QBREPORTCOMPARECOL_RATE" localSheetId="10">FALSE</definedName>
    <definedName name="QBREPORTCOMPARECOL_RATE" localSheetId="11">FALSE</definedName>
    <definedName name="QBREPORTCOMPARECOL_RATE" localSheetId="12">FALSE</definedName>
    <definedName name="QBREPORTCOMPARECOL_RATE" localSheetId="13">FALSE</definedName>
    <definedName name="QBREPORTCOMPARECOL_RATE" localSheetId="6">FALSE</definedName>
    <definedName name="QBREPORTCOMPARECOL_RATE" localSheetId="5">FALSE</definedName>
    <definedName name="QBREPORTCOMPARECOL_RATE" localSheetId="3">FALSE</definedName>
    <definedName name="QBREPORTCOMPARECOL_RATE" localSheetId="4">FALSE</definedName>
    <definedName name="QBREPORTCOMPARECOL_RATE" localSheetId="7">FALSE</definedName>
    <definedName name="QBREPORTCOMPARECOL_RATE" localSheetId="8">FALSE</definedName>
    <definedName name="QBREPORTCOMPARECOL_RATE" localSheetId="9">FALSE</definedName>
    <definedName name="QBREPORTCOMPARECOL_TRIPBILLEDMILES" localSheetId="10">FALSE</definedName>
    <definedName name="QBREPORTCOMPARECOL_TRIPBILLEDMILES" localSheetId="11">FALSE</definedName>
    <definedName name="QBREPORTCOMPARECOL_TRIPBILLEDMILES" localSheetId="12">FALSE</definedName>
    <definedName name="QBREPORTCOMPARECOL_TRIPBILLEDMILES" localSheetId="13">FALSE</definedName>
    <definedName name="QBREPORTCOMPARECOL_TRIPBILLEDMILES" localSheetId="6">FALSE</definedName>
    <definedName name="QBREPORTCOMPARECOL_TRIPBILLEDMILES" localSheetId="5">FALSE</definedName>
    <definedName name="QBREPORTCOMPARECOL_TRIPBILLEDMILES" localSheetId="3">FALSE</definedName>
    <definedName name="QBREPORTCOMPARECOL_TRIPBILLEDMILES" localSheetId="4">FALSE</definedName>
    <definedName name="QBREPORTCOMPARECOL_TRIPBILLEDMILES" localSheetId="7">FALSE</definedName>
    <definedName name="QBREPORTCOMPARECOL_TRIPBILLEDMILES" localSheetId="8">FALSE</definedName>
    <definedName name="QBREPORTCOMPARECOL_TRIPBILLEDMILES" localSheetId="9">FALSE</definedName>
    <definedName name="QBREPORTCOMPARECOL_TRIPBILLINGAMOUNT" localSheetId="10">FALSE</definedName>
    <definedName name="QBREPORTCOMPARECOL_TRIPBILLINGAMOUNT" localSheetId="11">FALSE</definedName>
    <definedName name="QBREPORTCOMPARECOL_TRIPBILLINGAMOUNT" localSheetId="12">FALSE</definedName>
    <definedName name="QBREPORTCOMPARECOL_TRIPBILLINGAMOUNT" localSheetId="13">FALSE</definedName>
    <definedName name="QBREPORTCOMPARECOL_TRIPBILLINGAMOUNT" localSheetId="6">FALSE</definedName>
    <definedName name="QBREPORTCOMPARECOL_TRIPBILLINGAMOUNT" localSheetId="5">FALSE</definedName>
    <definedName name="QBREPORTCOMPARECOL_TRIPBILLINGAMOUNT" localSheetId="3">FALSE</definedName>
    <definedName name="QBREPORTCOMPARECOL_TRIPBILLINGAMOUNT" localSheetId="4">FALSE</definedName>
    <definedName name="QBREPORTCOMPARECOL_TRIPBILLINGAMOUNT" localSheetId="7">FALSE</definedName>
    <definedName name="QBREPORTCOMPARECOL_TRIPBILLINGAMOUNT" localSheetId="8">FALSE</definedName>
    <definedName name="QBREPORTCOMPARECOL_TRIPBILLINGAMOUNT" localSheetId="9">FALSE</definedName>
    <definedName name="QBREPORTCOMPARECOL_TRIPMILES" localSheetId="10">FALSE</definedName>
    <definedName name="QBREPORTCOMPARECOL_TRIPMILES" localSheetId="11">FALSE</definedName>
    <definedName name="QBREPORTCOMPARECOL_TRIPMILES" localSheetId="12">FALSE</definedName>
    <definedName name="QBREPORTCOMPARECOL_TRIPMILES" localSheetId="13">FALSE</definedName>
    <definedName name="QBREPORTCOMPARECOL_TRIPMILES" localSheetId="6">FALSE</definedName>
    <definedName name="QBREPORTCOMPARECOL_TRIPMILES" localSheetId="5">FALSE</definedName>
    <definedName name="QBREPORTCOMPARECOL_TRIPMILES" localSheetId="3">FALSE</definedName>
    <definedName name="QBREPORTCOMPARECOL_TRIPMILES" localSheetId="4">FALSE</definedName>
    <definedName name="QBREPORTCOMPARECOL_TRIPMILES" localSheetId="7">FALSE</definedName>
    <definedName name="QBREPORTCOMPARECOL_TRIPMILES" localSheetId="8">FALSE</definedName>
    <definedName name="QBREPORTCOMPARECOL_TRIPMILES" localSheetId="9">FALSE</definedName>
    <definedName name="QBREPORTCOMPARECOL_TRIPNOTBILLABLEMILES" localSheetId="10">FALSE</definedName>
    <definedName name="QBREPORTCOMPARECOL_TRIPNOTBILLABLEMILES" localSheetId="11">FALSE</definedName>
    <definedName name="QBREPORTCOMPARECOL_TRIPNOTBILLABLEMILES" localSheetId="12">FALSE</definedName>
    <definedName name="QBREPORTCOMPARECOL_TRIPNOTBILLABLEMILES" localSheetId="13">FALSE</definedName>
    <definedName name="QBREPORTCOMPARECOL_TRIPNOTBILLABLEMILES" localSheetId="6">FALSE</definedName>
    <definedName name="QBREPORTCOMPARECOL_TRIPNOTBILLABLEMILES" localSheetId="5">FALSE</definedName>
    <definedName name="QBREPORTCOMPARECOL_TRIPNOTBILLABLEMILES" localSheetId="3">FALSE</definedName>
    <definedName name="QBREPORTCOMPARECOL_TRIPNOTBILLABLEMILES" localSheetId="4">FALSE</definedName>
    <definedName name="QBREPORTCOMPARECOL_TRIPNOTBILLABLEMILES" localSheetId="7">FALSE</definedName>
    <definedName name="QBREPORTCOMPARECOL_TRIPNOTBILLABLEMILES" localSheetId="8">FALSE</definedName>
    <definedName name="QBREPORTCOMPARECOL_TRIPNOTBILLABLEMILES" localSheetId="9">FALSE</definedName>
    <definedName name="QBREPORTCOMPARECOL_TRIPTAXDEDUCTIBLEAMOUNT" localSheetId="10">FALSE</definedName>
    <definedName name="QBREPORTCOMPARECOL_TRIPTAXDEDUCTIBLEAMOUNT" localSheetId="11">FALSE</definedName>
    <definedName name="QBREPORTCOMPARECOL_TRIPTAXDEDUCTIBLEAMOUNT" localSheetId="12">FALSE</definedName>
    <definedName name="QBREPORTCOMPARECOL_TRIPTAXDEDUCTIBLEAMOUNT" localSheetId="13">FALSE</definedName>
    <definedName name="QBREPORTCOMPARECOL_TRIPTAXDEDUCTIBLEAMOUNT" localSheetId="6">FALSE</definedName>
    <definedName name="QBREPORTCOMPARECOL_TRIPTAXDEDUCTIBLEAMOUNT" localSheetId="5">FALSE</definedName>
    <definedName name="QBREPORTCOMPARECOL_TRIPTAXDEDUCTIBLEAMOUNT" localSheetId="3">FALSE</definedName>
    <definedName name="QBREPORTCOMPARECOL_TRIPTAXDEDUCTIBLEAMOUNT" localSheetId="4">FALSE</definedName>
    <definedName name="QBREPORTCOMPARECOL_TRIPTAXDEDUCTIBLEAMOUNT" localSheetId="7">FALSE</definedName>
    <definedName name="QBREPORTCOMPARECOL_TRIPTAXDEDUCTIBLEAMOUNT" localSheetId="8">FALSE</definedName>
    <definedName name="QBREPORTCOMPARECOL_TRIPTAXDEDUCTIBLEAMOUNT" localSheetId="9">FALSE</definedName>
    <definedName name="QBREPORTCOMPARECOL_TRIPUNBILLEDMILES" localSheetId="10">FALSE</definedName>
    <definedName name="QBREPORTCOMPARECOL_TRIPUNBILLEDMILES" localSheetId="11">FALSE</definedName>
    <definedName name="QBREPORTCOMPARECOL_TRIPUNBILLEDMILES" localSheetId="12">FALSE</definedName>
    <definedName name="QBREPORTCOMPARECOL_TRIPUNBILLEDMILES" localSheetId="13">FALSE</definedName>
    <definedName name="QBREPORTCOMPARECOL_TRIPUNBILLEDMILES" localSheetId="6">FALSE</definedName>
    <definedName name="QBREPORTCOMPARECOL_TRIPUNBILLEDMILES" localSheetId="5">FALSE</definedName>
    <definedName name="QBREPORTCOMPARECOL_TRIPUNBILLEDMILES" localSheetId="3">FALSE</definedName>
    <definedName name="QBREPORTCOMPARECOL_TRIPUNBILLEDMILES" localSheetId="4">FALSE</definedName>
    <definedName name="QBREPORTCOMPARECOL_TRIPUNBILLEDMILES" localSheetId="7">FALSE</definedName>
    <definedName name="QBREPORTCOMPARECOL_TRIPUNBILLEDMILES" localSheetId="8">FALSE</definedName>
    <definedName name="QBREPORTCOMPARECOL_TRIPUNBILLEDMILES" localSheetId="9">FALSE</definedName>
    <definedName name="QBREPORTCOMPARECOL_YTD" localSheetId="10">FALSE</definedName>
    <definedName name="QBREPORTCOMPARECOL_YTD" localSheetId="11">FALSE</definedName>
    <definedName name="QBREPORTCOMPARECOL_YTD" localSheetId="12">FALSE</definedName>
    <definedName name="QBREPORTCOMPARECOL_YTD" localSheetId="13">FALSE</definedName>
    <definedName name="QBREPORTCOMPARECOL_YTD" localSheetId="6">FALSE</definedName>
    <definedName name="QBREPORTCOMPARECOL_YTD" localSheetId="5">FALSE</definedName>
    <definedName name="QBREPORTCOMPARECOL_YTD" localSheetId="3">FALSE</definedName>
    <definedName name="QBREPORTCOMPARECOL_YTD" localSheetId="4">FALSE</definedName>
    <definedName name="QBREPORTCOMPARECOL_YTD" localSheetId="7">FALSE</definedName>
    <definedName name="QBREPORTCOMPARECOL_YTD" localSheetId="8">FALSE</definedName>
    <definedName name="QBREPORTCOMPARECOL_YTD" localSheetId="9">FALSE</definedName>
    <definedName name="QBREPORTCOMPARECOL_YTDBUDGET" localSheetId="10">FALSE</definedName>
    <definedName name="QBREPORTCOMPARECOL_YTDBUDGET" localSheetId="11">FALSE</definedName>
    <definedName name="QBREPORTCOMPARECOL_YTDBUDGET" localSheetId="12">FALSE</definedName>
    <definedName name="QBREPORTCOMPARECOL_YTDBUDGET" localSheetId="13">FALSE</definedName>
    <definedName name="QBREPORTCOMPARECOL_YTDBUDGET" localSheetId="6">FALSE</definedName>
    <definedName name="QBREPORTCOMPARECOL_YTDBUDGET" localSheetId="5">FALSE</definedName>
    <definedName name="QBREPORTCOMPARECOL_YTDBUDGET" localSheetId="3">FALSE</definedName>
    <definedName name="QBREPORTCOMPARECOL_YTDBUDGET" localSheetId="4">FALSE</definedName>
    <definedName name="QBREPORTCOMPARECOL_YTDBUDGET" localSheetId="7">FALSE</definedName>
    <definedName name="QBREPORTCOMPARECOL_YTDBUDGET" localSheetId="8">FALSE</definedName>
    <definedName name="QBREPORTCOMPARECOL_YTDBUDGET" localSheetId="9">FALSE</definedName>
    <definedName name="QBREPORTCOMPARECOL_YTDPCT" localSheetId="10">FALSE</definedName>
    <definedName name="QBREPORTCOMPARECOL_YTDPCT" localSheetId="11">FALSE</definedName>
    <definedName name="QBREPORTCOMPARECOL_YTDPCT" localSheetId="12">FALSE</definedName>
    <definedName name="QBREPORTCOMPARECOL_YTDPCT" localSheetId="13">FALSE</definedName>
    <definedName name="QBREPORTCOMPARECOL_YTDPCT" localSheetId="6">FALSE</definedName>
    <definedName name="QBREPORTCOMPARECOL_YTDPCT" localSheetId="5">FALSE</definedName>
    <definedName name="QBREPORTCOMPARECOL_YTDPCT" localSheetId="3">FALSE</definedName>
    <definedName name="QBREPORTCOMPARECOL_YTDPCT" localSheetId="4">FALSE</definedName>
    <definedName name="QBREPORTCOMPARECOL_YTDPCT" localSheetId="7">FALSE</definedName>
    <definedName name="QBREPORTCOMPARECOL_YTDPCT" localSheetId="8">FALSE</definedName>
    <definedName name="QBREPORTCOMPARECOL_YTDPCT" localSheetId="9">FALSE</definedName>
    <definedName name="QBREPORTROWAXIS" localSheetId="10">11</definedName>
    <definedName name="QBREPORTROWAXIS" localSheetId="11">11</definedName>
    <definedName name="QBREPORTROWAXIS" localSheetId="12">11</definedName>
    <definedName name="QBREPORTROWAXIS" localSheetId="13">11</definedName>
    <definedName name="QBREPORTROWAXIS" localSheetId="6">11</definedName>
    <definedName name="QBREPORTROWAXIS" localSheetId="5">11</definedName>
    <definedName name="QBREPORTROWAXIS" localSheetId="3">11</definedName>
    <definedName name="QBREPORTROWAXIS" localSheetId="4">11</definedName>
    <definedName name="QBREPORTROWAXIS" localSheetId="7">11</definedName>
    <definedName name="QBREPORTROWAXIS" localSheetId="8">11</definedName>
    <definedName name="QBREPORTROWAXIS" localSheetId="9">11</definedName>
    <definedName name="QBREPORTSUBCOLAXIS" localSheetId="10">24</definedName>
    <definedName name="QBREPORTSUBCOLAXIS" localSheetId="11">24</definedName>
    <definedName name="QBREPORTSUBCOLAXIS" localSheetId="12">24</definedName>
    <definedName name="QBREPORTSUBCOLAXIS" localSheetId="13">0</definedName>
    <definedName name="QBREPORTSUBCOLAXIS" localSheetId="6">0</definedName>
    <definedName name="QBREPORTSUBCOLAXIS" localSheetId="5">24</definedName>
    <definedName name="QBREPORTSUBCOLAXIS" localSheetId="3">0</definedName>
    <definedName name="QBREPORTSUBCOLAXIS" localSheetId="4">0</definedName>
    <definedName name="QBREPORTSUBCOLAXIS" localSheetId="7">0</definedName>
    <definedName name="QBREPORTSUBCOLAXIS" localSheetId="8">0</definedName>
    <definedName name="QBREPORTSUBCOLAXIS" localSheetId="9">24</definedName>
    <definedName name="QBREPORTTYPE" localSheetId="10">288</definedName>
    <definedName name="QBREPORTTYPE" localSheetId="11">288</definedName>
    <definedName name="QBREPORTTYPE" localSheetId="12">288</definedName>
    <definedName name="QBREPORTTYPE" localSheetId="13">0</definedName>
    <definedName name="QBREPORTTYPE" localSheetId="6">0</definedName>
    <definedName name="QBREPORTTYPE" localSheetId="5">288</definedName>
    <definedName name="QBREPORTTYPE" localSheetId="3">0</definedName>
    <definedName name="QBREPORTTYPE" localSheetId="4">0</definedName>
    <definedName name="QBREPORTTYPE" localSheetId="7">0</definedName>
    <definedName name="QBREPORTTYPE" localSheetId="8">0</definedName>
    <definedName name="QBREPORTTYPE" localSheetId="9">0</definedName>
    <definedName name="QBROWHEADERS" localSheetId="10">7</definedName>
    <definedName name="QBROWHEADERS" localSheetId="11">7</definedName>
    <definedName name="QBROWHEADERS" localSheetId="12">7</definedName>
    <definedName name="QBROWHEADERS" localSheetId="13">7</definedName>
    <definedName name="QBROWHEADERS" localSheetId="6">7</definedName>
    <definedName name="QBROWHEADERS" localSheetId="5">7</definedName>
    <definedName name="QBROWHEADERS" localSheetId="3">7</definedName>
    <definedName name="QBROWHEADERS" localSheetId="4">7</definedName>
    <definedName name="QBROWHEADERS" localSheetId="7">7</definedName>
    <definedName name="QBROWHEADERS" localSheetId="8">7</definedName>
    <definedName name="QBROWHEADERS" localSheetId="9">7</definedName>
    <definedName name="QBSTARTDATE" localSheetId="10">20190701</definedName>
    <definedName name="QBSTARTDATE" localSheetId="11">20200701</definedName>
    <definedName name="QBSTARTDATE" localSheetId="12">20210701</definedName>
    <definedName name="QBSTARTDATE" localSheetId="13">20190701</definedName>
    <definedName name="QBSTARTDATE" localSheetId="6">20210701</definedName>
    <definedName name="QBSTARTDATE" localSheetId="5">20190701</definedName>
    <definedName name="QBSTARTDATE" localSheetId="3">20210701</definedName>
    <definedName name="QBSTARTDATE" localSheetId="4">20190701</definedName>
    <definedName name="QBSTARTDATE" localSheetId="7">20210701</definedName>
    <definedName name="QBSTARTDATE" localSheetId="8">20190701</definedName>
    <definedName name="QBSTARTDATE" localSheetId="9">20210701</definedName>
    <definedName name="ssociation">'2024 Ops DRAFT Budget'!$N$3:$O$4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21" l="1"/>
  <c r="D47" i="21"/>
  <c r="P9" i="27"/>
  <c r="AB29" i="26"/>
  <c r="Z60" i="26"/>
  <c r="Z59" i="26"/>
  <c r="Z58" i="26"/>
  <c r="Z57" i="26"/>
  <c r="Z56" i="26"/>
  <c r="Z55" i="26"/>
  <c r="Z54" i="26"/>
  <c r="Z53" i="26"/>
  <c r="Z52" i="26"/>
  <c r="Z51" i="26"/>
  <c r="Z50" i="26"/>
  <c r="Z49" i="26"/>
  <c r="Z47" i="26"/>
  <c r="Z46" i="26"/>
  <c r="Z45" i="26"/>
  <c r="Z44" i="26"/>
  <c r="Z42" i="26"/>
  <c r="Z41" i="26"/>
  <c r="Z40" i="26"/>
  <c r="Z39" i="26"/>
  <c r="Z38" i="26"/>
  <c r="Z37" i="26"/>
  <c r="Z36" i="26"/>
  <c r="Z35" i="26"/>
  <c r="Z33" i="26"/>
  <c r="Z32" i="26"/>
  <c r="Z31" i="26"/>
  <c r="Z30" i="26"/>
  <c r="Z28" i="26"/>
  <c r="Z27" i="26"/>
  <c r="Z26" i="26"/>
  <c r="Z25" i="26"/>
  <c r="Z24" i="26"/>
  <c r="Z23" i="26"/>
  <c r="Z22" i="26"/>
  <c r="Z21" i="26"/>
  <c r="Z19" i="26"/>
  <c r="Z13" i="26"/>
  <c r="Z11" i="26"/>
  <c r="Z10" i="26"/>
  <c r="Z9" i="26"/>
  <c r="Z8" i="26"/>
  <c r="Z7" i="26"/>
  <c r="D25" i="21"/>
  <c r="D23" i="21"/>
  <c r="D22" i="21"/>
  <c r="P56" i="26"/>
  <c r="Q56" i="26"/>
  <c r="R56" i="26"/>
  <c r="S56" i="26"/>
  <c r="T56" i="26"/>
  <c r="W56" i="26"/>
  <c r="U58" i="26"/>
  <c r="R58" i="26"/>
  <c r="S58" i="26"/>
  <c r="V58" i="26"/>
  <c r="X19" i="26"/>
  <c r="C16" i="21" l="1"/>
  <c r="C17" i="21" s="1"/>
  <c r="C18" i="21" s="1"/>
  <c r="E46" i="21"/>
  <c r="E43" i="21"/>
  <c r="E39" i="21"/>
  <c r="D31" i="21"/>
  <c r="E32" i="21"/>
  <c r="E28" i="21"/>
  <c r="E27" i="21"/>
  <c r="E25" i="21"/>
  <c r="E23" i="21" l="1"/>
  <c r="E22" i="21"/>
  <c r="E13" i="21"/>
  <c r="D30" i="26"/>
  <c r="D27" i="26"/>
  <c r="D28" i="21"/>
  <c r="D25" i="26"/>
  <c r="D26" i="21"/>
  <c r="C56" i="21"/>
  <c r="D53" i="21" s="1"/>
  <c r="C57" i="21"/>
  <c r="H26" i="26"/>
  <c r="N26" i="26"/>
  <c r="X26" i="26"/>
  <c r="AB26" i="26" s="1"/>
  <c r="Y26" i="26" l="1"/>
  <c r="Q33" i="26" l="1"/>
  <c r="P33" i="26"/>
  <c r="R33" i="26"/>
  <c r="S33" i="26"/>
  <c r="T31" i="26"/>
  <c r="W31" i="26"/>
  <c r="X35" i="26"/>
  <c r="X59" i="26"/>
  <c r="T42" i="26"/>
  <c r="T38" i="26"/>
  <c r="W38" i="26"/>
  <c r="U38" i="26"/>
  <c r="V38" i="26"/>
  <c r="D18" i="26" l="1"/>
  <c r="D10" i="21"/>
  <c r="D10" i="26"/>
  <c r="X38" i="26"/>
  <c r="X31" i="26"/>
  <c r="P7" i="27" l="1"/>
  <c r="P8" i="27"/>
  <c r="AA29" i="26"/>
  <c r="AA31" i="26" s="1"/>
  <c r="AB59" i="26"/>
  <c r="J81" i="27" l="1"/>
  <c r="K28" i="27"/>
  <c r="Q13" i="27"/>
  <c r="P13" i="27"/>
  <c r="P10" i="27"/>
  <c r="D38" i="26" s="1"/>
  <c r="H38" i="26" s="1"/>
  <c r="P11" i="27"/>
  <c r="G13" i="27"/>
  <c r="H13" i="27"/>
  <c r="I13" i="27"/>
  <c r="J13" i="27"/>
  <c r="K13" i="27"/>
  <c r="M13" i="27"/>
  <c r="N13" i="27"/>
  <c r="O13" i="27"/>
  <c r="N16" i="27"/>
  <c r="P16" i="27"/>
  <c r="P17" i="27"/>
  <c r="G22" i="27"/>
  <c r="H22" i="27"/>
  <c r="I22" i="27"/>
  <c r="K22" i="27"/>
  <c r="M22" i="27"/>
  <c r="N22" i="27"/>
  <c r="O22" i="27"/>
  <c r="P22" i="27"/>
  <c r="G28" i="27"/>
  <c r="H28" i="27"/>
  <c r="I28" i="27"/>
  <c r="M28" i="27"/>
  <c r="N28" i="27"/>
  <c r="O28" i="27"/>
  <c r="P28" i="27"/>
  <c r="Q28" i="27"/>
  <c r="E44" i="21" s="1"/>
  <c r="E48" i="21" s="1"/>
  <c r="G34" i="27"/>
  <c r="H34" i="27"/>
  <c r="I34" i="27"/>
  <c r="M34" i="27"/>
  <c r="N34" i="27"/>
  <c r="G40" i="27"/>
  <c r="H40" i="27"/>
  <c r="I40" i="27"/>
  <c r="M40" i="27"/>
  <c r="N40" i="27"/>
  <c r="G44" i="27"/>
  <c r="H44" i="27"/>
  <c r="I44" i="27"/>
  <c r="K44" i="27"/>
  <c r="M44" i="27"/>
  <c r="N44" i="27"/>
  <c r="O44" i="27"/>
  <c r="P44" i="27"/>
  <c r="Q44" i="27"/>
  <c r="G50" i="27"/>
  <c r="H50" i="27"/>
  <c r="I50" i="27"/>
  <c r="E29" i="21"/>
  <c r="M50" i="27"/>
  <c r="N50" i="27"/>
  <c r="O50" i="27"/>
  <c r="P50" i="27"/>
  <c r="G56" i="27"/>
  <c r="H56" i="27"/>
  <c r="I56" i="27"/>
  <c r="M56" i="27"/>
  <c r="N56" i="27"/>
  <c r="O56" i="27"/>
  <c r="P56" i="27"/>
  <c r="G62" i="27"/>
  <c r="H62" i="27"/>
  <c r="I62" i="27"/>
  <c r="M62" i="27"/>
  <c r="N62" i="27"/>
  <c r="O62" i="27"/>
  <c r="P62" i="27"/>
  <c r="G67" i="27"/>
  <c r="H67" i="27"/>
  <c r="I67" i="27"/>
  <c r="M67" i="27"/>
  <c r="N67" i="27"/>
  <c r="O67" i="27"/>
  <c r="P67" i="27"/>
  <c r="Q67" i="27"/>
  <c r="G72" i="27"/>
  <c r="H72" i="27"/>
  <c r="I72" i="27"/>
  <c r="K72" i="27"/>
  <c r="M72" i="27"/>
  <c r="N72" i="27"/>
  <c r="O72" i="27"/>
  <c r="P72" i="27"/>
  <c r="Q72" i="27"/>
  <c r="G78" i="27"/>
  <c r="H78" i="27"/>
  <c r="I78" i="27"/>
  <c r="K78" i="27"/>
  <c r="M78" i="27"/>
  <c r="N78" i="27"/>
  <c r="O78" i="27"/>
  <c r="Q78" i="27"/>
  <c r="H7" i="26"/>
  <c r="N7" i="26"/>
  <c r="X7" i="26"/>
  <c r="N8" i="26"/>
  <c r="X8" i="26"/>
  <c r="AB8" i="26" s="1"/>
  <c r="H9" i="26"/>
  <c r="N9" i="26"/>
  <c r="X9" i="26"/>
  <c r="H10" i="26"/>
  <c r="N10" i="26"/>
  <c r="W10" i="26"/>
  <c r="W13" i="26" s="1"/>
  <c r="AA10" i="26"/>
  <c r="AA13" i="26" s="1"/>
  <c r="E8" i="21" s="1"/>
  <c r="N11" i="26"/>
  <c r="X11" i="26"/>
  <c r="N13" i="26"/>
  <c r="H19" i="26"/>
  <c r="N19" i="26"/>
  <c r="AA19" i="26"/>
  <c r="E10" i="21" s="1"/>
  <c r="H21" i="26"/>
  <c r="N21" i="26"/>
  <c r="X21" i="26"/>
  <c r="AB21" i="26" s="1"/>
  <c r="N22" i="26"/>
  <c r="X22" i="26"/>
  <c r="H23" i="26"/>
  <c r="N23" i="26"/>
  <c r="T23" i="26"/>
  <c r="T33" i="26" s="1"/>
  <c r="W23" i="26"/>
  <c r="W33" i="26" s="1"/>
  <c r="AA23" i="26"/>
  <c r="AA33" i="26" s="1"/>
  <c r="E11" i="21" s="1"/>
  <c r="H24" i="26"/>
  <c r="N24" i="26"/>
  <c r="X24" i="26"/>
  <c r="H25" i="26"/>
  <c r="N25" i="26"/>
  <c r="X25" i="26"/>
  <c r="H27" i="26"/>
  <c r="N27" i="26"/>
  <c r="X27" i="26"/>
  <c r="N28" i="26"/>
  <c r="X28" i="26"/>
  <c r="AB28" i="26" s="1"/>
  <c r="H30" i="26"/>
  <c r="N30" i="26"/>
  <c r="X30" i="26"/>
  <c r="N31" i="26"/>
  <c r="O31" i="26" s="1"/>
  <c r="N32" i="26"/>
  <c r="X32" i="26"/>
  <c r="H33" i="26"/>
  <c r="N33" i="26"/>
  <c r="H34" i="26"/>
  <c r="N34" i="26"/>
  <c r="H35" i="26"/>
  <c r="N35" i="26"/>
  <c r="AB35" i="26"/>
  <c r="H36" i="26"/>
  <c r="N36" i="26"/>
  <c r="X36" i="26"/>
  <c r="AB36" i="26" s="1"/>
  <c r="N37" i="26"/>
  <c r="X37" i="26"/>
  <c r="N38" i="26"/>
  <c r="AA38" i="26"/>
  <c r="H39" i="26"/>
  <c r="N39" i="26"/>
  <c r="X39" i="26"/>
  <c r="AB39" i="26" s="1"/>
  <c r="N40" i="26"/>
  <c r="X40" i="26"/>
  <c r="H41" i="26"/>
  <c r="N41" i="26"/>
  <c r="X41" i="26"/>
  <c r="AB41" i="26" s="1"/>
  <c r="N42" i="26"/>
  <c r="W42" i="26"/>
  <c r="X42" i="26" s="1"/>
  <c r="AA42" i="26"/>
  <c r="N43" i="26"/>
  <c r="X43" i="26"/>
  <c r="N44" i="26"/>
  <c r="X44" i="26"/>
  <c r="AB44" i="26" s="1"/>
  <c r="H45" i="26"/>
  <c r="N45" i="26"/>
  <c r="X45" i="26"/>
  <c r="N46" i="26"/>
  <c r="T46" i="26"/>
  <c r="W46" i="26"/>
  <c r="AA46" i="26"/>
  <c r="N47" i="26"/>
  <c r="X47" i="26"/>
  <c r="AB47" i="26" s="1"/>
  <c r="H49" i="26"/>
  <c r="N49" i="26"/>
  <c r="X49" i="26"/>
  <c r="H50" i="26"/>
  <c r="N50" i="26"/>
  <c r="T50" i="26"/>
  <c r="W50" i="26"/>
  <c r="AA50" i="26"/>
  <c r="H51" i="26"/>
  <c r="N51" i="26"/>
  <c r="P51" i="26"/>
  <c r="P57" i="26" s="1"/>
  <c r="P58" i="26" s="1"/>
  <c r="Q51" i="26"/>
  <c r="Q57" i="26" s="1"/>
  <c r="Q58" i="26" s="1"/>
  <c r="R51" i="26"/>
  <c r="S51" i="26"/>
  <c r="U51" i="26"/>
  <c r="V51" i="26"/>
  <c r="H52" i="26"/>
  <c r="N52" i="26"/>
  <c r="X52" i="26"/>
  <c r="H53" i="26"/>
  <c r="N53" i="26"/>
  <c r="X53" i="26"/>
  <c r="H54" i="26"/>
  <c r="N54" i="26"/>
  <c r="X54" i="26"/>
  <c r="H55" i="26"/>
  <c r="N55" i="26"/>
  <c r="X55" i="26"/>
  <c r="H56" i="26"/>
  <c r="N56" i="26"/>
  <c r="AA56" i="26"/>
  <c r="H57" i="26"/>
  <c r="N57" i="26"/>
  <c r="H58" i="26"/>
  <c r="N58" i="26"/>
  <c r="H59" i="26"/>
  <c r="N59" i="26"/>
  <c r="Y59" i="26"/>
  <c r="H60" i="26"/>
  <c r="N60" i="26"/>
  <c r="K79" i="27" l="1"/>
  <c r="K83" i="27" s="1"/>
  <c r="X56" i="26"/>
  <c r="Q79" i="27"/>
  <c r="Q83" i="27" s="1"/>
  <c r="J79" i="27"/>
  <c r="J83" i="27" s="1"/>
  <c r="J84" i="27" s="1"/>
  <c r="D28" i="26"/>
  <c r="D29" i="21"/>
  <c r="D45" i="21"/>
  <c r="D44" i="26"/>
  <c r="D43" i="21"/>
  <c r="D42" i="26"/>
  <c r="H42" i="26" s="1"/>
  <c r="D39" i="21"/>
  <c r="Q84" i="27"/>
  <c r="D31" i="26"/>
  <c r="H31" i="26" s="1"/>
  <c r="D32" i="21"/>
  <c r="D40" i="26"/>
  <c r="H40" i="26" s="1"/>
  <c r="D41" i="21"/>
  <c r="Y54" i="26"/>
  <c r="D14" i="26"/>
  <c r="D14" i="21"/>
  <c r="X46" i="26"/>
  <c r="Y46" i="26" s="1"/>
  <c r="AB19" i="26"/>
  <c r="Y35" i="26"/>
  <c r="AB38" i="26"/>
  <c r="Y41" i="26"/>
  <c r="W51" i="26"/>
  <c r="W57" i="26" s="1"/>
  <c r="W58" i="26" s="1"/>
  <c r="Y36" i="26"/>
  <c r="Y22" i="26"/>
  <c r="AB22" i="26"/>
  <c r="Y11" i="26"/>
  <c r="AB11" i="26"/>
  <c r="Y9" i="26"/>
  <c r="AB9" i="26"/>
  <c r="Y53" i="26"/>
  <c r="AB53" i="26"/>
  <c r="AB52" i="26"/>
  <c r="Y49" i="26"/>
  <c r="AB49" i="26"/>
  <c r="Y40" i="26"/>
  <c r="Y7" i="26"/>
  <c r="AB7" i="26"/>
  <c r="X50" i="26"/>
  <c r="Y43" i="26"/>
  <c r="AB43" i="26"/>
  <c r="Y42" i="26"/>
  <c r="Y21" i="26"/>
  <c r="Y55" i="26"/>
  <c r="AB55" i="26"/>
  <c r="Y37" i="26"/>
  <c r="AB37" i="26"/>
  <c r="Y32" i="26"/>
  <c r="AB32" i="26"/>
  <c r="Y30" i="26"/>
  <c r="AB30" i="26"/>
  <c r="Y24" i="26"/>
  <c r="AB24" i="26"/>
  <c r="Y52" i="26"/>
  <c r="Y45" i="26"/>
  <c r="AB45" i="26"/>
  <c r="Y25" i="26"/>
  <c r="AB25" i="26"/>
  <c r="X23" i="26"/>
  <c r="Y23" i="26" s="1"/>
  <c r="T10" i="26"/>
  <c r="X10" i="26" s="1"/>
  <c r="Y10" i="26" s="1"/>
  <c r="Y27" i="26"/>
  <c r="Y47" i="26"/>
  <c r="Y44" i="26"/>
  <c r="Y19" i="26"/>
  <c r="Y39" i="26"/>
  <c r="Y8" i="26"/>
  <c r="Y28" i="26"/>
  <c r="O79" i="27"/>
  <c r="O83" i="27" s="1"/>
  <c r="O84" i="27" s="1"/>
  <c r="O85" i="27" s="1"/>
  <c r="P5" i="27" s="1"/>
  <c r="N79" i="27"/>
  <c r="N83" i="27" s="1"/>
  <c r="N84" i="27" s="1"/>
  <c r="N85" i="27" s="1"/>
  <c r="I79" i="27"/>
  <c r="I83" i="27" s="1"/>
  <c r="I84" i="27" s="1"/>
  <c r="I85" i="27" s="1"/>
  <c r="J5" i="27" s="1"/>
  <c r="H79" i="27"/>
  <c r="H83" i="27" s="1"/>
  <c r="H84" i="27" s="1"/>
  <c r="H85" i="27" s="1"/>
  <c r="K84" i="27"/>
  <c r="G79" i="27"/>
  <c r="G83" i="27" s="1"/>
  <c r="G84" i="27" s="1"/>
  <c r="G85" i="27" s="1"/>
  <c r="P79" i="27"/>
  <c r="M79" i="27"/>
  <c r="M83" i="27" s="1"/>
  <c r="M84" i="27" s="1"/>
  <c r="M85" i="27" s="1"/>
  <c r="AA51" i="26"/>
  <c r="E12" i="21" s="1"/>
  <c r="Y38" i="26"/>
  <c r="T51" i="26"/>
  <c r="T57" i="26" s="1"/>
  <c r="J13" i="22"/>
  <c r="R25" i="18"/>
  <c r="Q45" i="18"/>
  <c r="Q57" i="18"/>
  <c r="D27" i="21"/>
  <c r="W62" i="18"/>
  <c r="I12" i="22"/>
  <c r="K22" i="22"/>
  <c r="Y22" i="18"/>
  <c r="Y23" i="18"/>
  <c r="Y37" i="18"/>
  <c r="Y53" i="18"/>
  <c r="Y54" i="18"/>
  <c r="Y56" i="18"/>
  <c r="Y60" i="18"/>
  <c r="K43" i="22"/>
  <c r="P83" i="27" l="1"/>
  <c r="P84" i="27" s="1"/>
  <c r="P85" i="27" s="1"/>
  <c r="Q5" i="27" s="1"/>
  <c r="Q85" i="27" s="1"/>
  <c r="D48" i="21"/>
  <c r="D49" i="21" s="1"/>
  <c r="D38" i="21"/>
  <c r="D37" i="26"/>
  <c r="H37" i="26" s="1"/>
  <c r="D32" i="26"/>
  <c r="H32" i="26" s="1"/>
  <c r="H28" i="26"/>
  <c r="D33" i="21"/>
  <c r="D46" i="26"/>
  <c r="H44" i="26"/>
  <c r="D21" i="21"/>
  <c r="D22" i="26"/>
  <c r="H22" i="26" s="1"/>
  <c r="D13" i="26"/>
  <c r="H13" i="26" s="1"/>
  <c r="D13" i="21"/>
  <c r="X51" i="26"/>
  <c r="X33" i="26"/>
  <c r="AB56" i="26"/>
  <c r="AB42" i="26"/>
  <c r="Y56" i="26"/>
  <c r="AB46" i="26"/>
  <c r="AB23" i="26"/>
  <c r="T13" i="26"/>
  <c r="X13" i="26" s="1"/>
  <c r="AA57" i="26"/>
  <c r="AA58" i="26" s="1"/>
  <c r="AA60" i="26" s="1"/>
  <c r="AB10" i="26"/>
  <c r="Y50" i="26"/>
  <c r="AB50" i="26"/>
  <c r="J85" i="27"/>
  <c r="K5" i="27" s="1"/>
  <c r="K85" i="27" s="1"/>
  <c r="E53" i="21"/>
  <c r="E41" i="21"/>
  <c r="E49" i="21" s="1"/>
  <c r="D47" i="26" l="1"/>
  <c r="H47" i="26" s="1"/>
  <c r="H46" i="26"/>
  <c r="D11" i="26"/>
  <c r="H11" i="26" s="1"/>
  <c r="D11" i="21"/>
  <c r="AB51" i="26"/>
  <c r="D12" i="26"/>
  <c r="D12" i="21"/>
  <c r="AB13" i="26"/>
  <c r="D8" i="26"/>
  <c r="H8" i="26" s="1"/>
  <c r="D8" i="21"/>
  <c r="T58" i="26"/>
  <c r="X58" i="26" s="1"/>
  <c r="X60" i="26" s="1"/>
  <c r="Y13" i="26"/>
  <c r="Y51" i="26"/>
  <c r="D16" i="21" l="1"/>
  <c r="D17" i="21" s="1"/>
  <c r="D34" i="21"/>
  <c r="D35" i="21" s="1"/>
  <c r="E21" i="21" s="1"/>
  <c r="T60" i="26"/>
  <c r="D18" i="21" l="1"/>
  <c r="E7" i="21" s="1"/>
  <c r="E14" i="21"/>
  <c r="E16" i="21" s="1"/>
  <c r="E17" i="21" s="1"/>
  <c r="E18" i="21" l="1"/>
  <c r="P28" i="22"/>
  <c r="K56" i="22"/>
  <c r="K44" i="22"/>
  <c r="K50" i="22"/>
  <c r="K34" i="22"/>
  <c r="G13" i="22" l="1"/>
  <c r="H13" i="22"/>
  <c r="I13" i="22"/>
  <c r="K13" i="22"/>
  <c r="M13" i="22"/>
  <c r="N13" i="22"/>
  <c r="O13" i="22"/>
  <c r="P13" i="22"/>
  <c r="G22" i="22"/>
  <c r="H22" i="22"/>
  <c r="I22" i="22"/>
  <c r="E26" i="21"/>
  <c r="E33" i="21" s="1"/>
  <c r="E34" i="21" s="1"/>
  <c r="M22" i="22"/>
  <c r="N22" i="22"/>
  <c r="O22" i="22"/>
  <c r="G61" i="22"/>
  <c r="H61" i="22"/>
  <c r="I61" i="22"/>
  <c r="K61" i="22"/>
  <c r="M61" i="22"/>
  <c r="N61" i="22"/>
  <c r="O61" i="22"/>
  <c r="P61" i="22"/>
  <c r="G66" i="22"/>
  <c r="H66" i="22"/>
  <c r="I66" i="22"/>
  <c r="K66" i="22"/>
  <c r="M66" i="22"/>
  <c r="N66" i="22"/>
  <c r="O66" i="22"/>
  <c r="P66" i="22"/>
  <c r="G72" i="22"/>
  <c r="H72" i="22"/>
  <c r="I72" i="22"/>
  <c r="K72" i="22"/>
  <c r="M72" i="22"/>
  <c r="N72" i="22"/>
  <c r="O72" i="22"/>
  <c r="P72" i="22"/>
  <c r="G28" i="22"/>
  <c r="H28" i="22"/>
  <c r="I28" i="22"/>
  <c r="K28" i="22"/>
  <c r="M28" i="22"/>
  <c r="N28" i="22"/>
  <c r="O28" i="22"/>
  <c r="G34" i="22"/>
  <c r="H34" i="22"/>
  <c r="I34" i="22"/>
  <c r="M34" i="22"/>
  <c r="N34" i="22"/>
  <c r="G38" i="22"/>
  <c r="H38" i="22"/>
  <c r="I38" i="22"/>
  <c r="K38" i="22"/>
  <c r="M38" i="22"/>
  <c r="N38" i="22"/>
  <c r="O38" i="22"/>
  <c r="P38" i="22"/>
  <c r="G50" i="22"/>
  <c r="H50" i="22"/>
  <c r="I50" i="22"/>
  <c r="M50" i="22"/>
  <c r="N50" i="22"/>
  <c r="O50" i="22"/>
  <c r="G44" i="22"/>
  <c r="H44" i="22"/>
  <c r="I44" i="22"/>
  <c r="M44" i="22"/>
  <c r="N44" i="22"/>
  <c r="O44" i="22"/>
  <c r="G56" i="22"/>
  <c r="H56" i="22"/>
  <c r="I56" i="22"/>
  <c r="M56" i="22"/>
  <c r="N56" i="22"/>
  <c r="O56" i="22"/>
  <c r="B46" i="21"/>
  <c r="B35" i="21"/>
  <c r="B50" i="21" s="1"/>
  <c r="B56" i="21" s="1"/>
  <c r="B32" i="21"/>
  <c r="B28" i="21"/>
  <c r="B26" i="21"/>
  <c r="B21" i="21"/>
  <c r="B38" i="21" s="1"/>
  <c r="B53" i="21" s="1"/>
  <c r="D50" i="21" l="1"/>
  <c r="O73" i="22"/>
  <c r="O76" i="22" s="1"/>
  <c r="O77" i="22" s="1"/>
  <c r="I73" i="22"/>
  <c r="I76" i="22" s="1"/>
  <c r="I77" i="22" s="1"/>
  <c r="I78" i="22" s="1"/>
  <c r="K73" i="22"/>
  <c r="K76" i="22" s="1"/>
  <c r="K77" i="22" s="1"/>
  <c r="N73" i="22"/>
  <c r="N76" i="22" s="1"/>
  <c r="N77" i="22" s="1"/>
  <c r="N78" i="22" s="1"/>
  <c r="H73" i="22"/>
  <c r="H76" i="22" s="1"/>
  <c r="H77" i="22" s="1"/>
  <c r="H78" i="22" s="1"/>
  <c r="P73" i="22"/>
  <c r="M73" i="22"/>
  <c r="M76" i="22" s="1"/>
  <c r="M77" i="22" s="1"/>
  <c r="M78" i="22" s="1"/>
  <c r="G73" i="22"/>
  <c r="G76" i="22" s="1"/>
  <c r="G77" i="22" s="1"/>
  <c r="G78" i="22" s="1"/>
  <c r="AG31" i="20"/>
  <c r="AF43" i="20"/>
  <c r="AF5" i="20"/>
  <c r="AF48" i="20"/>
  <c r="AF38" i="20"/>
  <c r="AF35" i="20"/>
  <c r="AF34" i="20"/>
  <c r="AF28" i="20"/>
  <c r="AF25" i="20"/>
  <c r="AF19" i="20"/>
  <c r="AF18" i="20"/>
  <c r="AF16" i="20"/>
  <c r="AF15" i="20"/>
  <c r="AF14" i="20"/>
  <c r="AF11" i="20"/>
  <c r="AF10" i="20"/>
  <c r="AF7" i="20"/>
  <c r="AF6" i="20"/>
  <c r="Z50" i="20"/>
  <c r="AD49" i="20"/>
  <c r="AD50" i="20" s="1"/>
  <c r="AB49" i="20"/>
  <c r="AB50" i="20" s="1"/>
  <c r="Z49" i="20"/>
  <c r="AD39" i="20"/>
  <c r="AB39" i="20"/>
  <c r="Z39" i="20"/>
  <c r="AD36" i="20"/>
  <c r="AB36" i="20"/>
  <c r="Z36" i="20"/>
  <c r="AD32" i="20"/>
  <c r="AB32" i="20"/>
  <c r="Z32" i="20"/>
  <c r="Z42" i="20" s="1"/>
  <c r="AD26" i="20"/>
  <c r="AD27" i="20" s="1"/>
  <c r="AB26" i="20"/>
  <c r="AB27" i="20" s="1"/>
  <c r="Z26" i="20"/>
  <c r="Z27" i="20" s="1"/>
  <c r="AD17" i="20"/>
  <c r="AB17" i="20"/>
  <c r="Z17" i="20"/>
  <c r="AD12" i="20"/>
  <c r="AB12" i="20"/>
  <c r="Z12" i="20"/>
  <c r="AD8" i="20"/>
  <c r="AB8" i="20"/>
  <c r="AB20" i="20" s="1"/>
  <c r="AB21" i="20" s="1"/>
  <c r="Z8" i="20"/>
  <c r="X50" i="20"/>
  <c r="P50" i="20"/>
  <c r="H50" i="20"/>
  <c r="X49" i="20"/>
  <c r="V49" i="20"/>
  <c r="V50" i="20" s="1"/>
  <c r="T49" i="20"/>
  <c r="T50" i="20" s="1"/>
  <c r="R49" i="20"/>
  <c r="R50" i="20" s="1"/>
  <c r="P49" i="20"/>
  <c r="N49" i="20"/>
  <c r="N50" i="20" s="1"/>
  <c r="L49" i="20"/>
  <c r="L50" i="20" s="1"/>
  <c r="J49" i="20"/>
  <c r="J50" i="20" s="1"/>
  <c r="H49" i="20"/>
  <c r="X39" i="20"/>
  <c r="V39" i="20"/>
  <c r="T39" i="20"/>
  <c r="T42" i="20" s="1"/>
  <c r="R39" i="20"/>
  <c r="P39" i="20"/>
  <c r="N39" i="20"/>
  <c r="L39" i="20"/>
  <c r="L42" i="20" s="1"/>
  <c r="J39" i="20"/>
  <c r="H39" i="20"/>
  <c r="X36" i="20"/>
  <c r="V36" i="20"/>
  <c r="V42" i="20" s="1"/>
  <c r="T36" i="20"/>
  <c r="R36" i="20"/>
  <c r="P36" i="20"/>
  <c r="N36" i="20"/>
  <c r="N42" i="20" s="1"/>
  <c r="L36" i="20"/>
  <c r="J36" i="20"/>
  <c r="H36" i="20"/>
  <c r="X32" i="20"/>
  <c r="X42" i="20" s="1"/>
  <c r="V32" i="20"/>
  <c r="T32" i="20"/>
  <c r="R32" i="20"/>
  <c r="R42" i="20" s="1"/>
  <c r="P32" i="20"/>
  <c r="P42" i="20" s="1"/>
  <c r="N32" i="20"/>
  <c r="L32" i="20"/>
  <c r="J32" i="20"/>
  <c r="H32" i="20"/>
  <c r="H42" i="20" s="1"/>
  <c r="X26" i="20"/>
  <c r="X27" i="20" s="1"/>
  <c r="V26" i="20"/>
  <c r="V27" i="20" s="1"/>
  <c r="V44" i="20" s="1"/>
  <c r="T26" i="20"/>
  <c r="T27" i="20" s="1"/>
  <c r="R26" i="20"/>
  <c r="R27" i="20" s="1"/>
  <c r="R44" i="20" s="1"/>
  <c r="P26" i="20"/>
  <c r="P27" i="20" s="1"/>
  <c r="N26" i="20"/>
  <c r="N27" i="20" s="1"/>
  <c r="N44" i="20" s="1"/>
  <c r="L26" i="20"/>
  <c r="L27" i="20" s="1"/>
  <c r="J26" i="20"/>
  <c r="J27" i="20" s="1"/>
  <c r="H26" i="20"/>
  <c r="X17" i="20"/>
  <c r="V17" i="20"/>
  <c r="T17" i="20"/>
  <c r="R17" i="20"/>
  <c r="P17" i="20"/>
  <c r="N17" i="20"/>
  <c r="L17" i="20"/>
  <c r="J17" i="20"/>
  <c r="H17" i="20"/>
  <c r="X12" i="20"/>
  <c r="X20" i="20" s="1"/>
  <c r="X21" i="20" s="1"/>
  <c r="V12" i="20"/>
  <c r="T12" i="20"/>
  <c r="R12" i="20"/>
  <c r="P12" i="20"/>
  <c r="N12" i="20"/>
  <c r="L12" i="20"/>
  <c r="J12" i="20"/>
  <c r="H12" i="20"/>
  <c r="H20" i="20" s="1"/>
  <c r="H21" i="20" s="1"/>
  <c r="X8" i="20"/>
  <c r="V8" i="20"/>
  <c r="T8" i="20"/>
  <c r="T20" i="20" s="1"/>
  <c r="T21" i="20" s="1"/>
  <c r="R8" i="20"/>
  <c r="P8" i="20"/>
  <c r="P20" i="20" s="1"/>
  <c r="P21" i="20" s="1"/>
  <c r="N8" i="20"/>
  <c r="L8" i="20"/>
  <c r="L20" i="20" s="1"/>
  <c r="L21" i="20" s="1"/>
  <c r="J8" i="20"/>
  <c r="H8" i="20"/>
  <c r="AF26" i="20" l="1"/>
  <c r="AG32" i="20"/>
  <c r="AG42" i="20" s="1"/>
  <c r="AG44" i="20" s="1"/>
  <c r="AG45" i="20" s="1"/>
  <c r="K5" i="22"/>
  <c r="J5" i="22"/>
  <c r="N20" i="20"/>
  <c r="N21" i="20" s="1"/>
  <c r="V20" i="20"/>
  <c r="V21" i="20" s="1"/>
  <c r="AF12" i="20"/>
  <c r="J20" i="20"/>
  <c r="J21" i="20" s="1"/>
  <c r="R20" i="20"/>
  <c r="R21" i="20" s="1"/>
  <c r="AF39" i="20"/>
  <c r="AF8" i="20"/>
  <c r="L44" i="20"/>
  <c r="L45" i="20" s="1"/>
  <c r="L51" i="20" s="1"/>
  <c r="T44" i="20"/>
  <c r="D57" i="21"/>
  <c r="E38" i="21"/>
  <c r="E50" i="21" s="1"/>
  <c r="O78" i="22"/>
  <c r="P5" i="22" s="1"/>
  <c r="P76" i="22"/>
  <c r="P77" i="22" s="1"/>
  <c r="E35" i="21"/>
  <c r="K78" i="22"/>
  <c r="E56" i="21"/>
  <c r="AF50" i="20"/>
  <c r="P45" i="20"/>
  <c r="P51" i="20" s="1"/>
  <c r="T45" i="20"/>
  <c r="T51" i="20" s="1"/>
  <c r="P44" i="20"/>
  <c r="X44" i="20"/>
  <c r="X45" i="20" s="1"/>
  <c r="X51" i="20" s="1"/>
  <c r="N45" i="20"/>
  <c r="N51" i="20" s="1"/>
  <c r="V45" i="20"/>
  <c r="V51" i="20" s="1"/>
  <c r="R45" i="20"/>
  <c r="R51" i="20" s="1"/>
  <c r="AF36" i="20"/>
  <c r="AF42" i="20" s="1"/>
  <c r="Z44" i="20"/>
  <c r="AD20" i="20"/>
  <c r="AD21" i="20" s="1"/>
  <c r="AF17" i="20"/>
  <c r="AD42" i="20"/>
  <c r="AD44" i="20" s="1"/>
  <c r="AF49" i="20"/>
  <c r="AB42" i="20"/>
  <c r="AB44" i="20" s="1"/>
  <c r="AB45" i="20" s="1"/>
  <c r="AB51" i="20" s="1"/>
  <c r="H27" i="20"/>
  <c r="J42" i="20"/>
  <c r="J44" i="20" s="1"/>
  <c r="J45" i="20" s="1"/>
  <c r="J51" i="20" s="1"/>
  <c r="Z20" i="20"/>
  <c r="P78" i="22" l="1"/>
  <c r="AD45" i="20"/>
  <c r="AD51" i="20" s="1"/>
  <c r="AF27" i="20"/>
  <c r="AF44" i="20" s="1"/>
  <c r="H44" i="20"/>
  <c r="H45" i="20" s="1"/>
  <c r="H51" i="20" s="1"/>
  <c r="Z21" i="20"/>
  <c r="AF20" i="20"/>
  <c r="R45" i="18"/>
  <c r="H57" i="17"/>
  <c r="AF45" i="15"/>
  <c r="I56" i="17" s="1"/>
  <c r="U16" i="18"/>
  <c r="P16" i="18"/>
  <c r="O16" i="18"/>
  <c r="R2" i="15"/>
  <c r="N60" i="15"/>
  <c r="Z45" i="20" l="1"/>
  <c r="AF21" i="20"/>
  <c r="AF45" i="20" s="1"/>
  <c r="Z51" i="20" l="1"/>
  <c r="AF51" i="20" s="1"/>
  <c r="H56" i="18" l="1"/>
  <c r="H28" i="18"/>
  <c r="L28" i="18"/>
  <c r="R57" i="18" l="1"/>
  <c r="S48" i="18"/>
  <c r="T37" i="18"/>
  <c r="W37" i="18" s="1"/>
  <c r="X11" i="18"/>
  <c r="S6" i="18"/>
  <c r="T60" i="18"/>
  <c r="W60" i="18" s="1"/>
  <c r="N60" i="18"/>
  <c r="J60" i="18"/>
  <c r="X57" i="18"/>
  <c r="V57" i="18"/>
  <c r="S57" i="18"/>
  <c r="P57" i="18"/>
  <c r="P58" i="18" s="1"/>
  <c r="P59" i="18" s="1"/>
  <c r="P61" i="18" s="1"/>
  <c r="M57" i="18"/>
  <c r="L57" i="18"/>
  <c r="I57" i="18"/>
  <c r="T56" i="18"/>
  <c r="W56" i="18" s="1"/>
  <c r="N56" i="18"/>
  <c r="J56" i="18"/>
  <c r="T55" i="18"/>
  <c r="W55" i="18" s="1"/>
  <c r="N55" i="18"/>
  <c r="J55" i="18"/>
  <c r="T54" i="18"/>
  <c r="W54" i="18" s="1"/>
  <c r="N54" i="18"/>
  <c r="J54" i="18"/>
  <c r="T53" i="18"/>
  <c r="W53" i="18" s="1"/>
  <c r="N53" i="18"/>
  <c r="J53" i="18"/>
  <c r="N50" i="18"/>
  <c r="J50" i="18"/>
  <c r="N49" i="18"/>
  <c r="J49" i="18"/>
  <c r="X48" i="18"/>
  <c r="V48" i="18"/>
  <c r="M48" i="18"/>
  <c r="L48" i="18"/>
  <c r="I48" i="18"/>
  <c r="H48" i="18"/>
  <c r="N47" i="18"/>
  <c r="J47" i="18"/>
  <c r="N44" i="18"/>
  <c r="J44" i="18"/>
  <c r="X43" i="18"/>
  <c r="V43" i="18"/>
  <c r="S43" i="18"/>
  <c r="M43" i="18"/>
  <c r="L43" i="18"/>
  <c r="I43" i="18"/>
  <c r="H43" i="18"/>
  <c r="N42" i="18"/>
  <c r="N41" i="18"/>
  <c r="J41" i="18"/>
  <c r="N40" i="18"/>
  <c r="J40" i="18"/>
  <c r="N38" i="18"/>
  <c r="J38" i="18"/>
  <c r="N36" i="18"/>
  <c r="J36" i="18"/>
  <c r="N33" i="18"/>
  <c r="J33" i="18"/>
  <c r="N32" i="18"/>
  <c r="J32" i="18"/>
  <c r="N31" i="18"/>
  <c r="J31" i="18"/>
  <c r="N30" i="18"/>
  <c r="J30" i="18"/>
  <c r="X29" i="18"/>
  <c r="V29" i="18"/>
  <c r="S29" i="18"/>
  <c r="M29" i="18"/>
  <c r="I29" i="18"/>
  <c r="N28" i="18"/>
  <c r="J28" i="18"/>
  <c r="N27" i="18"/>
  <c r="J27" i="18"/>
  <c r="X25" i="18"/>
  <c r="V25" i="18"/>
  <c r="S25" i="18"/>
  <c r="M25" i="18"/>
  <c r="L25" i="18"/>
  <c r="I25" i="18"/>
  <c r="H25" i="18"/>
  <c r="T24" i="18"/>
  <c r="N24" i="18"/>
  <c r="J24" i="18"/>
  <c r="T23" i="18"/>
  <c r="W23" i="18" s="1"/>
  <c r="N23" i="18"/>
  <c r="J23" i="18"/>
  <c r="T22" i="18"/>
  <c r="W22" i="18" s="1"/>
  <c r="N22" i="18"/>
  <c r="J22" i="18"/>
  <c r="N20" i="18"/>
  <c r="J20" i="18"/>
  <c r="N18" i="18"/>
  <c r="J18" i="18"/>
  <c r="N15" i="18"/>
  <c r="N14" i="18"/>
  <c r="N12" i="18"/>
  <c r="J12" i="18"/>
  <c r="V11" i="18"/>
  <c r="V16" i="18" s="1"/>
  <c r="M11" i="18"/>
  <c r="M16" i="18" s="1"/>
  <c r="L11" i="18"/>
  <c r="L16" i="18" s="1"/>
  <c r="I11" i="18"/>
  <c r="H11" i="18"/>
  <c r="H16" i="18" s="1"/>
  <c r="N10" i="18"/>
  <c r="J10" i="18"/>
  <c r="N8" i="18"/>
  <c r="J8" i="18"/>
  <c r="N7" i="18"/>
  <c r="J7" i="18"/>
  <c r="N6" i="18"/>
  <c r="J6" i="18"/>
  <c r="S34" i="18" l="1"/>
  <c r="X16" i="18"/>
  <c r="Y57" i="18"/>
  <c r="N11" i="18"/>
  <c r="N16" i="18" s="1"/>
  <c r="L51" i="18"/>
  <c r="S11" i="18"/>
  <c r="S16" i="18" s="1"/>
  <c r="T57" i="18"/>
  <c r="W57" i="18" s="1"/>
  <c r="M51" i="18"/>
  <c r="N48" i="18"/>
  <c r="M34" i="18"/>
  <c r="N57" i="18"/>
  <c r="H34" i="18"/>
  <c r="X51" i="18"/>
  <c r="J57" i="18"/>
  <c r="J48" i="18"/>
  <c r="I16" i="18"/>
  <c r="L34" i="18"/>
  <c r="X34" i="18"/>
  <c r="H51" i="18"/>
  <c r="N29" i="18"/>
  <c r="I51" i="18"/>
  <c r="J11" i="18"/>
  <c r="I34" i="18"/>
  <c r="V34" i="18"/>
  <c r="J29" i="18"/>
  <c r="J43" i="18"/>
  <c r="V51" i="18"/>
  <c r="S51" i="18"/>
  <c r="N43" i="18"/>
  <c r="N25" i="18"/>
  <c r="J25" i="18"/>
  <c r="N51" i="18" l="1"/>
  <c r="N34" i="18"/>
  <c r="M58" i="18"/>
  <c r="M59" i="18" s="1"/>
  <c r="M61" i="18" s="1"/>
  <c r="J51" i="18"/>
  <c r="H58" i="18"/>
  <c r="X58" i="18"/>
  <c r="J16" i="18"/>
  <c r="J34" i="18"/>
  <c r="L58" i="18"/>
  <c r="V58" i="18"/>
  <c r="V59" i="18" s="1"/>
  <c r="V61" i="18" s="1"/>
  <c r="I58" i="18"/>
  <c r="I59" i="18" s="1"/>
  <c r="I61" i="18" s="1"/>
  <c r="S58" i="18"/>
  <c r="X59" i="18" l="1"/>
  <c r="S59" i="18"/>
  <c r="H59" i="18"/>
  <c r="H61" i="18" s="1"/>
  <c r="N58" i="18"/>
  <c r="L59" i="18"/>
  <c r="N59" i="18" s="1"/>
  <c r="J58" i="18"/>
  <c r="X61" i="18" l="1"/>
  <c r="J61" i="18"/>
  <c r="H64" i="18"/>
  <c r="J59" i="18"/>
  <c r="L61" i="18"/>
  <c r="S61" i="18"/>
  <c r="N61" i="18" l="1"/>
  <c r="L64" i="18"/>
  <c r="S64" i="18"/>
  <c r="H11" i="17" l="1"/>
  <c r="M142" i="17"/>
  <c r="J140" i="17"/>
  <c r="J143" i="17" s="1"/>
  <c r="H140" i="17"/>
  <c r="H143" i="17" s="1"/>
  <c r="M138" i="17"/>
  <c r="M137" i="17"/>
  <c r="M134" i="17"/>
  <c r="M133" i="17"/>
  <c r="H128" i="17"/>
  <c r="H122" i="17"/>
  <c r="J117" i="17"/>
  <c r="H117" i="17"/>
  <c r="M115" i="17"/>
  <c r="J113" i="17"/>
  <c r="H113" i="17"/>
  <c r="M108" i="17"/>
  <c r="M99" i="17"/>
  <c r="M96" i="17"/>
  <c r="J94" i="17"/>
  <c r="J97" i="17" s="1"/>
  <c r="H94" i="17"/>
  <c r="H97" i="17" s="1"/>
  <c r="H98" i="17" s="1"/>
  <c r="H100" i="17" s="1"/>
  <c r="M93" i="17"/>
  <c r="M92" i="17"/>
  <c r="M90" i="17"/>
  <c r="J84" i="17"/>
  <c r="M84" i="17" s="1"/>
  <c r="H79" i="17"/>
  <c r="L72" i="17"/>
  <c r="H72" i="17"/>
  <c r="J70" i="17"/>
  <c r="M70" i="17" s="1"/>
  <c r="L63" i="17"/>
  <c r="H63" i="17"/>
  <c r="L58" i="17"/>
  <c r="H58" i="17"/>
  <c r="J56" i="17"/>
  <c r="Q41" i="18" s="1"/>
  <c r="L49" i="17"/>
  <c r="H49" i="17"/>
  <c r="J48" i="17"/>
  <c r="M48" i="17" s="1"/>
  <c r="J47" i="17"/>
  <c r="L42" i="17"/>
  <c r="H42" i="17"/>
  <c r="L38" i="17"/>
  <c r="H38" i="17"/>
  <c r="J27" i="17"/>
  <c r="L26" i="17"/>
  <c r="H26" i="17"/>
  <c r="L20" i="17"/>
  <c r="H20" i="17"/>
  <c r="H15" i="17"/>
  <c r="L11" i="17"/>
  <c r="AF11" i="15"/>
  <c r="I21" i="17" s="1"/>
  <c r="J21" i="17" s="1"/>
  <c r="Q12" i="18" s="1"/>
  <c r="L50" i="17" l="1"/>
  <c r="H130" i="17"/>
  <c r="H131" i="17" s="1"/>
  <c r="H144" i="17" s="1"/>
  <c r="H146" i="17" s="1"/>
  <c r="M117" i="17"/>
  <c r="M56" i="17"/>
  <c r="M21" i="17"/>
  <c r="H50" i="17"/>
  <c r="J130" i="17"/>
  <c r="J131" i="17" s="1"/>
  <c r="H66" i="17"/>
  <c r="M113" i="17"/>
  <c r="L66" i="17"/>
  <c r="L82" i="17" s="1"/>
  <c r="L28" i="17"/>
  <c r="L29" i="17" s="1"/>
  <c r="H28" i="17"/>
  <c r="H29" i="17" s="1"/>
  <c r="J98" i="17"/>
  <c r="J100" i="17" s="1"/>
  <c r="M100" i="17" s="1"/>
  <c r="M97" i="17"/>
  <c r="M130" i="17"/>
  <c r="M143" i="17"/>
  <c r="M94" i="17"/>
  <c r="M140" i="17"/>
  <c r="T12" i="18" l="1"/>
  <c r="W12" i="18" s="1"/>
  <c r="Y12" i="18"/>
  <c r="T41" i="18"/>
  <c r="W41" i="18" s="1"/>
  <c r="Y41" i="18"/>
  <c r="H82" i="17"/>
  <c r="L83" i="17"/>
  <c r="L85" i="17" s="1"/>
  <c r="H83" i="17"/>
  <c r="M131" i="17"/>
  <c r="J144" i="17"/>
  <c r="H85" i="17" l="1"/>
  <c r="J85" i="17" s="1"/>
  <c r="M85" i="17" s="1"/>
  <c r="J146" i="17"/>
  <c r="M146" i="17" s="1"/>
  <c r="M144" i="17"/>
  <c r="BD6" i="9" l="1"/>
  <c r="AF63" i="15" l="1"/>
  <c r="AF59" i="15"/>
  <c r="I71" i="17" s="1"/>
  <c r="J71" i="17" s="1"/>
  <c r="M71" i="17" s="1"/>
  <c r="AF58" i="15"/>
  <c r="I69" i="17" s="1"/>
  <c r="J69" i="17" s="1"/>
  <c r="M69" i="17" s="1"/>
  <c r="AF57" i="15"/>
  <c r="I68" i="17" s="1"/>
  <c r="AF56" i="15"/>
  <c r="AF54" i="15"/>
  <c r="I65" i="17" s="1"/>
  <c r="J65" i="17" s="1"/>
  <c r="Q50" i="18" s="1"/>
  <c r="AF53" i="15"/>
  <c r="I64" i="17" s="1"/>
  <c r="J64" i="17" s="1"/>
  <c r="Q49" i="18" s="1"/>
  <c r="AF51" i="15"/>
  <c r="I62" i="17" s="1"/>
  <c r="J62" i="17" s="1"/>
  <c r="Q47" i="18" s="1"/>
  <c r="AF50" i="15"/>
  <c r="I61" i="17" s="1"/>
  <c r="J61" i="17" s="1"/>
  <c r="AF49" i="15"/>
  <c r="I60" i="17" s="1"/>
  <c r="AF48" i="15"/>
  <c r="I59" i="17" s="1"/>
  <c r="J59" i="17" s="1"/>
  <c r="Q44" i="18" s="1"/>
  <c r="AF46" i="15"/>
  <c r="I57" i="17" s="1"/>
  <c r="J57" i="17" s="1"/>
  <c r="Q42" i="18" s="1"/>
  <c r="AF44" i="15"/>
  <c r="I55" i="17" s="1"/>
  <c r="AF43" i="15"/>
  <c r="AF42" i="15"/>
  <c r="I53" i="17" s="1"/>
  <c r="J53" i="17" s="1"/>
  <c r="Q38" i="18" s="1"/>
  <c r="AF41" i="15"/>
  <c r="I52" i="17" s="1"/>
  <c r="AF40" i="15"/>
  <c r="AF37" i="15"/>
  <c r="AF36" i="15"/>
  <c r="AF35" i="15"/>
  <c r="I45" i="17" s="1"/>
  <c r="J45" i="17" s="1"/>
  <c r="Q32" i="18" s="1"/>
  <c r="AF34" i="15"/>
  <c r="I44" i="17" s="1"/>
  <c r="J44" i="17" s="1"/>
  <c r="Q31" i="18" s="1"/>
  <c r="AF33" i="15"/>
  <c r="I43" i="17" s="1"/>
  <c r="J43" i="17" s="1"/>
  <c r="Q30" i="18" s="1"/>
  <c r="AF31" i="15"/>
  <c r="I41" i="17" s="1"/>
  <c r="J41" i="17" s="1"/>
  <c r="Q28" i="18" s="1"/>
  <c r="AF30" i="15"/>
  <c r="I40" i="17" s="1"/>
  <c r="AF29" i="15"/>
  <c r="AF27" i="15"/>
  <c r="I37" i="17" s="1"/>
  <c r="J37" i="17" s="1"/>
  <c r="AF25" i="15"/>
  <c r="I35" i="17" s="1"/>
  <c r="J35" i="17" s="1"/>
  <c r="M35" i="17" s="1"/>
  <c r="AF24" i="15"/>
  <c r="I34" i="17" s="1"/>
  <c r="AF23" i="15"/>
  <c r="I33" i="17" s="1"/>
  <c r="AF22" i="15"/>
  <c r="AF20" i="15"/>
  <c r="AF17" i="15"/>
  <c r="AF15" i="15"/>
  <c r="I25" i="17" s="1"/>
  <c r="J25" i="17" s="1"/>
  <c r="AF14" i="15"/>
  <c r="I24" i="17" s="1"/>
  <c r="J24" i="17" s="1"/>
  <c r="Q15" i="18" s="1"/>
  <c r="AF13" i="15"/>
  <c r="I23" i="17" s="1"/>
  <c r="J23" i="17" s="1"/>
  <c r="Q14" i="18" s="1"/>
  <c r="AF12" i="15"/>
  <c r="I22" i="17" s="1"/>
  <c r="AF9" i="15"/>
  <c r="I10" i="17" s="1"/>
  <c r="J10" i="17" s="1"/>
  <c r="AF8" i="15"/>
  <c r="I9" i="17" s="1"/>
  <c r="J9" i="17" s="1"/>
  <c r="AF7" i="15"/>
  <c r="I8" i="17" s="1"/>
  <c r="J8" i="17" s="1"/>
  <c r="Q8" i="18" s="1"/>
  <c r="AF6" i="15"/>
  <c r="I7" i="17" s="1"/>
  <c r="J7" i="17" s="1"/>
  <c r="Q7" i="18" s="1"/>
  <c r="N28" i="15"/>
  <c r="Z21" i="15"/>
  <c r="AD21" i="15" s="1"/>
  <c r="N10" i="15"/>
  <c r="J10" i="15"/>
  <c r="J16" i="15"/>
  <c r="AD60" i="15"/>
  <c r="AD52" i="15"/>
  <c r="AD47" i="15"/>
  <c r="AD38" i="15"/>
  <c r="AD32" i="15"/>
  <c r="AD16" i="15"/>
  <c r="Z60" i="15"/>
  <c r="Z52" i="15"/>
  <c r="Z47" i="15"/>
  <c r="Z38" i="15"/>
  <c r="Z32" i="15"/>
  <c r="Z16" i="15"/>
  <c r="V60" i="15"/>
  <c r="V52" i="15"/>
  <c r="V47" i="15"/>
  <c r="V38" i="15"/>
  <c r="V32" i="15"/>
  <c r="V16" i="15"/>
  <c r="R60" i="15"/>
  <c r="R52" i="15"/>
  <c r="R47" i="15"/>
  <c r="R38" i="15"/>
  <c r="R32" i="15"/>
  <c r="R16" i="15"/>
  <c r="N52" i="15"/>
  <c r="N47" i="15"/>
  <c r="N38" i="15"/>
  <c r="N32" i="15"/>
  <c r="N16" i="15"/>
  <c r="J60" i="15"/>
  <c r="J52" i="15"/>
  <c r="J47" i="15"/>
  <c r="J38" i="15"/>
  <c r="J32" i="15"/>
  <c r="J28" i="15"/>
  <c r="AC60" i="15"/>
  <c r="Y60" i="15"/>
  <c r="U60" i="15"/>
  <c r="Q60" i="15"/>
  <c r="M60" i="15"/>
  <c r="I60" i="15"/>
  <c r="AB60" i="15"/>
  <c r="X60" i="15"/>
  <c r="T60" i="15"/>
  <c r="P60" i="15"/>
  <c r="L60" i="15"/>
  <c r="H60" i="15"/>
  <c r="AC52" i="15"/>
  <c r="Y52" i="15"/>
  <c r="U52" i="15"/>
  <c r="Q52" i="15"/>
  <c r="M52" i="15"/>
  <c r="I52" i="15"/>
  <c r="AB52" i="15"/>
  <c r="X52" i="15"/>
  <c r="T52" i="15"/>
  <c r="P52" i="15"/>
  <c r="L52" i="15"/>
  <c r="H52" i="15"/>
  <c r="AC47" i="15"/>
  <c r="Y47" i="15"/>
  <c r="U47" i="15"/>
  <c r="U55" i="15" s="1"/>
  <c r="Q47" i="15"/>
  <c r="M47" i="15"/>
  <c r="I47" i="15"/>
  <c r="AB47" i="15"/>
  <c r="AB55" i="15" s="1"/>
  <c r="X47" i="15"/>
  <c r="T47" i="15"/>
  <c r="P47" i="15"/>
  <c r="L47" i="15"/>
  <c r="H47" i="15"/>
  <c r="AC38" i="15"/>
  <c r="Y38" i="15"/>
  <c r="U38" i="15"/>
  <c r="Q38" i="15"/>
  <c r="M38" i="15"/>
  <c r="I38" i="15"/>
  <c r="AB38" i="15"/>
  <c r="X38" i="15"/>
  <c r="T38" i="15"/>
  <c r="P38" i="15"/>
  <c r="L38" i="15"/>
  <c r="H38" i="15"/>
  <c r="AC32" i="15"/>
  <c r="Y32" i="15"/>
  <c r="U32" i="15"/>
  <c r="Q32" i="15"/>
  <c r="M32" i="15"/>
  <c r="I32" i="15"/>
  <c r="AB32" i="15"/>
  <c r="X32" i="15"/>
  <c r="T32" i="15"/>
  <c r="P32" i="15"/>
  <c r="L32" i="15"/>
  <c r="H32" i="15"/>
  <c r="AC28" i="15"/>
  <c r="Y28" i="15"/>
  <c r="U28" i="15"/>
  <c r="Q28" i="15"/>
  <c r="M28" i="15"/>
  <c r="I28" i="15"/>
  <c r="AB28" i="15"/>
  <c r="X28" i="15"/>
  <c r="T28" i="15"/>
  <c r="T39" i="15" s="1"/>
  <c r="P28" i="15"/>
  <c r="L28" i="15"/>
  <c r="H28" i="15"/>
  <c r="AC16" i="15"/>
  <c r="Y16" i="15"/>
  <c r="U16" i="15"/>
  <c r="Q16" i="15"/>
  <c r="M16" i="15"/>
  <c r="I16" i="15"/>
  <c r="AB16" i="15"/>
  <c r="X16" i="15"/>
  <c r="T16" i="15"/>
  <c r="P16" i="15"/>
  <c r="L16" i="15"/>
  <c r="H16" i="15"/>
  <c r="AC10" i="15"/>
  <c r="AC18" i="15" s="1"/>
  <c r="AC19" i="15" s="1"/>
  <c r="Y10" i="15"/>
  <c r="U10" i="15"/>
  <c r="Q10" i="15"/>
  <c r="M10" i="15"/>
  <c r="M18" i="15" s="1"/>
  <c r="M19" i="15" s="1"/>
  <c r="I10" i="15"/>
  <c r="AB10" i="15"/>
  <c r="X10" i="15"/>
  <c r="X18" i="15" s="1"/>
  <c r="X19" i="15" s="1"/>
  <c r="T10" i="15"/>
  <c r="T18" i="15" s="1"/>
  <c r="T19" i="15" s="1"/>
  <c r="P10" i="15"/>
  <c r="L10" i="15"/>
  <c r="H10" i="15"/>
  <c r="H18" i="15" s="1"/>
  <c r="H19" i="15" s="1"/>
  <c r="BP39" i="13"/>
  <c r="BP38" i="13"/>
  <c r="BN37" i="13"/>
  <c r="BL37" i="13"/>
  <c r="BJ37" i="13"/>
  <c r="BH37" i="13"/>
  <c r="BF37" i="13"/>
  <c r="BD37" i="13"/>
  <c r="BB37" i="13"/>
  <c r="AZ37" i="13"/>
  <c r="AX37" i="13"/>
  <c r="AV37" i="13"/>
  <c r="AT37" i="13"/>
  <c r="AR37" i="13"/>
  <c r="AP37" i="13"/>
  <c r="AN37" i="13"/>
  <c r="AL37" i="13"/>
  <c r="AJ37" i="13"/>
  <c r="AH37" i="13"/>
  <c r="AF37" i="13"/>
  <c r="AD37" i="13"/>
  <c r="AB37" i="13"/>
  <c r="Z37" i="13"/>
  <c r="X37" i="13"/>
  <c r="V37" i="13"/>
  <c r="T37" i="13"/>
  <c r="R37" i="13"/>
  <c r="P37" i="13"/>
  <c r="N37" i="13"/>
  <c r="L37" i="13"/>
  <c r="J37" i="13"/>
  <c r="H37" i="13"/>
  <c r="BP36" i="13"/>
  <c r="BP35" i="13"/>
  <c r="BP34" i="13"/>
  <c r="BP33" i="13"/>
  <c r="BP32" i="13"/>
  <c r="BP30" i="13"/>
  <c r="BN28" i="13"/>
  <c r="BN29" i="13" s="1"/>
  <c r="BL28" i="13"/>
  <c r="BL29" i="13" s="1"/>
  <c r="BJ28" i="13"/>
  <c r="BJ29" i="13" s="1"/>
  <c r="BH28" i="13"/>
  <c r="BH29" i="13" s="1"/>
  <c r="BH40" i="13" s="1"/>
  <c r="BF28" i="13"/>
  <c r="BF29" i="13" s="1"/>
  <c r="BD28" i="13"/>
  <c r="BD29" i="13" s="1"/>
  <c r="BB28" i="13"/>
  <c r="BB29" i="13" s="1"/>
  <c r="AZ28" i="13"/>
  <c r="AZ29" i="13" s="1"/>
  <c r="AZ40" i="13" s="1"/>
  <c r="AX28" i="13"/>
  <c r="AX29" i="13" s="1"/>
  <c r="AV28" i="13"/>
  <c r="AV29" i="13" s="1"/>
  <c r="AT28" i="13"/>
  <c r="AT29" i="13" s="1"/>
  <c r="AR28" i="13"/>
  <c r="AR29" i="13" s="1"/>
  <c r="AR40" i="13" s="1"/>
  <c r="AP28" i="13"/>
  <c r="AP29" i="13" s="1"/>
  <c r="AN28" i="13"/>
  <c r="AN29" i="13" s="1"/>
  <c r="AL28" i="13"/>
  <c r="AL29" i="13" s="1"/>
  <c r="AJ28" i="13"/>
  <c r="AJ29" i="13" s="1"/>
  <c r="AJ40" i="13" s="1"/>
  <c r="AH28" i="13"/>
  <c r="AH29" i="13" s="1"/>
  <c r="AF28" i="13"/>
  <c r="AF29" i="13" s="1"/>
  <c r="AD28" i="13"/>
  <c r="AD29" i="13" s="1"/>
  <c r="AB28" i="13"/>
  <c r="AB29" i="13" s="1"/>
  <c r="AB40" i="13" s="1"/>
  <c r="Z28" i="13"/>
  <c r="Z29" i="13" s="1"/>
  <c r="X28" i="13"/>
  <c r="X29" i="13" s="1"/>
  <c r="V28" i="13"/>
  <c r="V29" i="13" s="1"/>
  <c r="T28" i="13"/>
  <c r="T29" i="13" s="1"/>
  <c r="T40" i="13" s="1"/>
  <c r="R28" i="13"/>
  <c r="R29" i="13" s="1"/>
  <c r="P28" i="13"/>
  <c r="P29" i="13" s="1"/>
  <c r="N28" i="13"/>
  <c r="N29" i="13" s="1"/>
  <c r="L28" i="13"/>
  <c r="L29" i="13" s="1"/>
  <c r="L40" i="13" s="1"/>
  <c r="J28" i="13"/>
  <c r="J29" i="13" s="1"/>
  <c r="H28" i="13"/>
  <c r="H29" i="13" s="1"/>
  <c r="BP27" i="13"/>
  <c r="BP26" i="13"/>
  <c r="BP20" i="13"/>
  <c r="BP19" i="13"/>
  <c r="BP18" i="13"/>
  <c r="BN17" i="13"/>
  <c r="BL17" i="13"/>
  <c r="BJ17" i="13"/>
  <c r="BH17" i="13"/>
  <c r="BF17" i="13"/>
  <c r="BD17" i="13"/>
  <c r="BB17" i="13"/>
  <c r="AZ17" i="13"/>
  <c r="AX17" i="13"/>
  <c r="AV17" i="13"/>
  <c r="AT17" i="13"/>
  <c r="AR17" i="13"/>
  <c r="AP17" i="13"/>
  <c r="AN17" i="13"/>
  <c r="AL17" i="13"/>
  <c r="AJ17" i="13"/>
  <c r="AH17" i="13"/>
  <c r="AF17" i="13"/>
  <c r="AD17" i="13"/>
  <c r="AB17" i="13"/>
  <c r="Z17" i="13"/>
  <c r="X17" i="13"/>
  <c r="V17" i="13"/>
  <c r="T17" i="13"/>
  <c r="R17" i="13"/>
  <c r="P17" i="13"/>
  <c r="N17" i="13"/>
  <c r="L17" i="13"/>
  <c r="J17" i="13"/>
  <c r="H17" i="13"/>
  <c r="BP16" i="13"/>
  <c r="BP15" i="13"/>
  <c r="BP14" i="13"/>
  <c r="BN12" i="13"/>
  <c r="BL12" i="13"/>
  <c r="BJ12" i="13"/>
  <c r="BH12" i="13"/>
  <c r="BF12" i="13"/>
  <c r="BD12" i="13"/>
  <c r="BB12" i="13"/>
  <c r="AZ12" i="13"/>
  <c r="AX12" i="13"/>
  <c r="AV12" i="13"/>
  <c r="AT12" i="13"/>
  <c r="AR12" i="13"/>
  <c r="AP12" i="13"/>
  <c r="AN12" i="13"/>
  <c r="AL12" i="13"/>
  <c r="AJ12" i="13"/>
  <c r="AH12" i="13"/>
  <c r="AF12" i="13"/>
  <c r="AD12" i="13"/>
  <c r="AB12" i="13"/>
  <c r="Z12" i="13"/>
  <c r="X12" i="13"/>
  <c r="V12" i="13"/>
  <c r="T12" i="13"/>
  <c r="R12" i="13"/>
  <c r="P12" i="13"/>
  <c r="N12" i="13"/>
  <c r="L12" i="13"/>
  <c r="J12" i="13"/>
  <c r="H12" i="13"/>
  <c r="BP11" i="13"/>
  <c r="BP10" i="13"/>
  <c r="BN8" i="13"/>
  <c r="BL8" i="13"/>
  <c r="BJ8" i="13"/>
  <c r="BJ21" i="13" s="1"/>
  <c r="BJ22" i="13" s="1"/>
  <c r="BH8" i="13"/>
  <c r="BH21" i="13" s="1"/>
  <c r="BH22" i="13" s="1"/>
  <c r="BF8" i="13"/>
  <c r="BD8" i="13"/>
  <c r="BB8" i="13"/>
  <c r="BB21" i="13" s="1"/>
  <c r="BB22" i="13" s="1"/>
  <c r="AZ8" i="13"/>
  <c r="AZ21" i="13" s="1"/>
  <c r="AZ22" i="13" s="1"/>
  <c r="AX8" i="13"/>
  <c r="AV8" i="13"/>
  <c r="AT8" i="13"/>
  <c r="AT21" i="13" s="1"/>
  <c r="AT22" i="13" s="1"/>
  <c r="AR8" i="13"/>
  <c r="AR21" i="13" s="1"/>
  <c r="AR22" i="13" s="1"/>
  <c r="AP8" i="13"/>
  <c r="AN8" i="13"/>
  <c r="AL8" i="13"/>
  <c r="AL21" i="13" s="1"/>
  <c r="AL22" i="13" s="1"/>
  <c r="AJ8" i="13"/>
  <c r="AJ21" i="13" s="1"/>
  <c r="AJ22" i="13" s="1"/>
  <c r="AH8" i="13"/>
  <c r="AF8" i="13"/>
  <c r="AD8" i="13"/>
  <c r="AD21" i="13" s="1"/>
  <c r="AD22" i="13" s="1"/>
  <c r="AB8" i="13"/>
  <c r="AB21" i="13" s="1"/>
  <c r="AB22" i="13" s="1"/>
  <c r="Z8" i="13"/>
  <c r="X8" i="13"/>
  <c r="V8" i="13"/>
  <c r="V21" i="13" s="1"/>
  <c r="V22" i="13" s="1"/>
  <c r="T8" i="13"/>
  <c r="T21" i="13" s="1"/>
  <c r="T22" i="13" s="1"/>
  <c r="R8" i="13"/>
  <c r="P8" i="13"/>
  <c r="N8" i="13"/>
  <c r="N21" i="13" s="1"/>
  <c r="N22" i="13" s="1"/>
  <c r="L8" i="13"/>
  <c r="L21" i="13" s="1"/>
  <c r="L22" i="13" s="1"/>
  <c r="J8" i="13"/>
  <c r="H8" i="13"/>
  <c r="BP7" i="13"/>
  <c r="BP6" i="13"/>
  <c r="BP5" i="13"/>
  <c r="Y9" i="18" l="1"/>
  <c r="Q9" i="18"/>
  <c r="Y10" i="18"/>
  <c r="Q10" i="18"/>
  <c r="Y46" i="18"/>
  <c r="Q46" i="18"/>
  <c r="Q48" i="18" s="1"/>
  <c r="N41" i="13"/>
  <c r="N42" i="13" s="1"/>
  <c r="AT41" i="13"/>
  <c r="AT42" i="13" s="1"/>
  <c r="N40" i="13"/>
  <c r="V40" i="13"/>
  <c r="V41" i="13" s="1"/>
  <c r="V42" i="13" s="1"/>
  <c r="AD40" i="13"/>
  <c r="AD41" i="13" s="1"/>
  <c r="AD42" i="13" s="1"/>
  <c r="AL40" i="13"/>
  <c r="AL41" i="13" s="1"/>
  <c r="AL42" i="13" s="1"/>
  <c r="AT40" i="13"/>
  <c r="BB40" i="13"/>
  <c r="BB41" i="13" s="1"/>
  <c r="BB42" i="13" s="1"/>
  <c r="BJ40" i="13"/>
  <c r="BJ41" i="13" s="1"/>
  <c r="BJ42" i="13" s="1"/>
  <c r="M57" i="17"/>
  <c r="R42" i="18"/>
  <c r="M62" i="17"/>
  <c r="H40" i="13"/>
  <c r="P40" i="13"/>
  <c r="X40" i="13"/>
  <c r="AF40" i="13"/>
  <c r="AN40" i="13"/>
  <c r="AV40" i="13"/>
  <c r="BD40" i="13"/>
  <c r="BL40" i="13"/>
  <c r="M59" i="17"/>
  <c r="M64" i="17"/>
  <c r="BP12" i="13"/>
  <c r="BP17" i="13"/>
  <c r="R40" i="13"/>
  <c r="Z40" i="13"/>
  <c r="AH40" i="13"/>
  <c r="AP40" i="13"/>
  <c r="AX40" i="13"/>
  <c r="BF40" i="13"/>
  <c r="BN40" i="13"/>
  <c r="M65" i="17"/>
  <c r="M44" i="17"/>
  <c r="M7" i="17"/>
  <c r="R7" i="18"/>
  <c r="M45" i="17"/>
  <c r="J52" i="17"/>
  <c r="M8" i="17"/>
  <c r="M23" i="17"/>
  <c r="M41" i="17"/>
  <c r="M53" i="17"/>
  <c r="M24" i="17"/>
  <c r="M43" i="17"/>
  <c r="R30" i="18"/>
  <c r="I26" i="17"/>
  <c r="J26" i="17" s="1"/>
  <c r="M26" i="17" s="1"/>
  <c r="I42" i="17"/>
  <c r="J42" i="17" s="1"/>
  <c r="M42" i="17" s="1"/>
  <c r="J40" i="17"/>
  <c r="Q27" i="18" s="1"/>
  <c r="Q29" i="18" s="1"/>
  <c r="I72" i="17"/>
  <c r="J72" i="17" s="1"/>
  <c r="M72" i="17" s="1"/>
  <c r="J68" i="17"/>
  <c r="M68" i="17" s="1"/>
  <c r="I58" i="17"/>
  <c r="J55" i="17"/>
  <c r="Q40" i="18" s="1"/>
  <c r="Q43" i="18" s="1"/>
  <c r="AF16" i="15"/>
  <c r="J33" i="17"/>
  <c r="Q20" i="18" s="1"/>
  <c r="AF21" i="15"/>
  <c r="I31" i="17" s="1"/>
  <c r="J31" i="17" s="1"/>
  <c r="Q18" i="18" s="1"/>
  <c r="I63" i="17"/>
  <c r="J63" i="17" s="1"/>
  <c r="M63" i="17" s="1"/>
  <c r="AF47" i="15"/>
  <c r="AF38" i="15"/>
  <c r="I49" i="17" s="1"/>
  <c r="J49" i="17" s="1"/>
  <c r="Q33" i="18" s="1"/>
  <c r="AF60" i="15"/>
  <c r="AF52" i="15"/>
  <c r="AF32" i="15"/>
  <c r="AH21" i="13"/>
  <c r="AH22" i="13" s="1"/>
  <c r="AX21" i="13"/>
  <c r="AX22" i="13" s="1"/>
  <c r="BN21" i="13"/>
  <c r="BN22" i="13" s="1"/>
  <c r="BN41" i="13" s="1"/>
  <c r="BN42" i="13" s="1"/>
  <c r="T41" i="13"/>
  <c r="T42" i="13" s="1"/>
  <c r="AJ41" i="13"/>
  <c r="AJ42" i="13" s="1"/>
  <c r="AZ41" i="13"/>
  <c r="AZ42" i="13" s="1"/>
  <c r="R21" i="13"/>
  <c r="R22" i="13" s="1"/>
  <c r="Z21" i="13"/>
  <c r="Z22" i="13" s="1"/>
  <c r="AP21" i="13"/>
  <c r="AP22" i="13" s="1"/>
  <c r="AP41" i="13" s="1"/>
  <c r="AP42" i="13" s="1"/>
  <c r="BF21" i="13"/>
  <c r="BF22" i="13" s="1"/>
  <c r="BF41" i="13" s="1"/>
  <c r="BF42" i="13" s="1"/>
  <c r="H21" i="13"/>
  <c r="H22" i="13" s="1"/>
  <c r="P21" i="13"/>
  <c r="P22" i="13" s="1"/>
  <c r="P41" i="13" s="1"/>
  <c r="P42" i="13" s="1"/>
  <c r="X21" i="13"/>
  <c r="X22" i="13" s="1"/>
  <c r="X41" i="13" s="1"/>
  <c r="X42" i="13" s="1"/>
  <c r="AF21" i="13"/>
  <c r="AF22" i="13" s="1"/>
  <c r="AN21" i="13"/>
  <c r="AN22" i="13" s="1"/>
  <c r="AV21" i="13"/>
  <c r="AV22" i="13" s="1"/>
  <c r="AV41" i="13" s="1"/>
  <c r="AV42" i="13" s="1"/>
  <c r="BD21" i="13"/>
  <c r="BD22" i="13" s="1"/>
  <c r="BD41" i="13" s="1"/>
  <c r="BD42" i="13" s="1"/>
  <c r="BL21" i="13"/>
  <c r="BL22" i="13" s="1"/>
  <c r="BP37" i="13"/>
  <c r="N18" i="15"/>
  <c r="N19" i="15" s="1"/>
  <c r="V26" i="15"/>
  <c r="Z26" i="15" s="1"/>
  <c r="Z55" i="15"/>
  <c r="AD55" i="15"/>
  <c r="R55" i="15"/>
  <c r="V55" i="15"/>
  <c r="J18" i="15"/>
  <c r="J19" i="15" s="1"/>
  <c r="N55" i="15"/>
  <c r="N39" i="15"/>
  <c r="J55" i="15"/>
  <c r="J39" i="15"/>
  <c r="L18" i="15"/>
  <c r="L19" i="15" s="1"/>
  <c r="AB18" i="15"/>
  <c r="AB19" i="15" s="1"/>
  <c r="U18" i="15"/>
  <c r="U19" i="15" s="1"/>
  <c r="U39" i="15"/>
  <c r="U61" i="15" s="1"/>
  <c r="T55" i="15"/>
  <c r="T61" i="15" s="1"/>
  <c r="T62" i="15" s="1"/>
  <c r="AC55" i="15"/>
  <c r="P18" i="15"/>
  <c r="P19" i="15" s="1"/>
  <c r="I18" i="15"/>
  <c r="I19" i="15" s="1"/>
  <c r="Y18" i="15"/>
  <c r="Y19" i="15" s="1"/>
  <c r="I39" i="15"/>
  <c r="M55" i="15"/>
  <c r="Q18" i="15"/>
  <c r="Q19" i="15" s="1"/>
  <c r="L39" i="15"/>
  <c r="M39" i="15"/>
  <c r="X55" i="15"/>
  <c r="I55" i="15"/>
  <c r="Q39" i="15"/>
  <c r="P39" i="15"/>
  <c r="L55" i="15"/>
  <c r="P55" i="15"/>
  <c r="Q55" i="15"/>
  <c r="AB39" i="15"/>
  <c r="AB61" i="15" s="1"/>
  <c r="AC39" i="15"/>
  <c r="H55" i="15"/>
  <c r="Y55" i="15"/>
  <c r="H39" i="15"/>
  <c r="X39" i="15"/>
  <c r="Y39" i="15"/>
  <c r="BP29" i="13"/>
  <c r="J40" i="13"/>
  <c r="L41" i="13"/>
  <c r="L42" i="13" s="1"/>
  <c r="AB41" i="13"/>
  <c r="AB42" i="13" s="1"/>
  <c r="AR41" i="13"/>
  <c r="AR42" i="13" s="1"/>
  <c r="BH41" i="13"/>
  <c r="BH42" i="13" s="1"/>
  <c r="BP8" i="13"/>
  <c r="J21" i="13"/>
  <c r="J22" i="13" s="1"/>
  <c r="BP28" i="13"/>
  <c r="BN59" i="11"/>
  <c r="BL59" i="11"/>
  <c r="BJ59" i="11"/>
  <c r="BH59" i="11"/>
  <c r="BF59" i="11"/>
  <c r="BD59" i="11"/>
  <c r="BB59" i="11"/>
  <c r="AZ59" i="11"/>
  <c r="AX59" i="11"/>
  <c r="AV59" i="11"/>
  <c r="AT59" i="11"/>
  <c r="AR59" i="11"/>
  <c r="AP59" i="11"/>
  <c r="AN59" i="11"/>
  <c r="AL59" i="11"/>
  <c r="AJ59" i="11"/>
  <c r="AH59" i="11"/>
  <c r="AF59" i="11"/>
  <c r="AD59" i="11"/>
  <c r="AB59" i="11"/>
  <c r="Z59" i="11"/>
  <c r="X59" i="11"/>
  <c r="V59" i="11"/>
  <c r="T59" i="11"/>
  <c r="R59" i="11"/>
  <c r="P59" i="11"/>
  <c r="N59" i="11"/>
  <c r="L59" i="11"/>
  <c r="J59" i="11"/>
  <c r="H59" i="11"/>
  <c r="BN51" i="11"/>
  <c r="BL51" i="11"/>
  <c r="BJ51" i="11"/>
  <c r="BH51" i="11"/>
  <c r="BF51" i="11"/>
  <c r="BD51" i="11"/>
  <c r="BB51" i="11"/>
  <c r="AZ51" i="11"/>
  <c r="AX51" i="11"/>
  <c r="AV51" i="11"/>
  <c r="AT51" i="11"/>
  <c r="AR51" i="11"/>
  <c r="AP51" i="11"/>
  <c r="AN51" i="11"/>
  <c r="AL51" i="11"/>
  <c r="AJ51" i="11"/>
  <c r="AH51" i="11"/>
  <c r="AF51" i="11"/>
  <c r="AD51" i="11"/>
  <c r="AB51" i="11"/>
  <c r="Z51" i="11"/>
  <c r="X51" i="11"/>
  <c r="V51" i="11"/>
  <c r="T51" i="11"/>
  <c r="R51" i="11"/>
  <c r="P51" i="11"/>
  <c r="N51" i="11"/>
  <c r="L51" i="11"/>
  <c r="J51" i="11"/>
  <c r="H51" i="11"/>
  <c r="BN46" i="11"/>
  <c r="BL46" i="11"/>
  <c r="BJ46" i="11"/>
  <c r="BH46" i="11"/>
  <c r="BF46" i="11"/>
  <c r="BD46" i="11"/>
  <c r="BB46" i="11"/>
  <c r="AZ46" i="11"/>
  <c r="AX46" i="11"/>
  <c r="AV46" i="11"/>
  <c r="AT46" i="11"/>
  <c r="AR46" i="11"/>
  <c r="AP46" i="11"/>
  <c r="AN46" i="11"/>
  <c r="AL46" i="11"/>
  <c r="AJ46" i="11"/>
  <c r="AH46" i="11"/>
  <c r="AF46" i="11"/>
  <c r="AD46" i="11"/>
  <c r="AB46" i="11"/>
  <c r="Z46" i="11"/>
  <c r="X46" i="11"/>
  <c r="V46" i="11"/>
  <c r="T46" i="11"/>
  <c r="R46" i="11"/>
  <c r="P46" i="11"/>
  <c r="N46" i="11"/>
  <c r="L46" i="11"/>
  <c r="J46" i="11"/>
  <c r="H46" i="11"/>
  <c r="BN38" i="11"/>
  <c r="BL38" i="11"/>
  <c r="BJ38" i="11"/>
  <c r="BH38" i="11"/>
  <c r="BF38" i="11"/>
  <c r="BD38" i="11"/>
  <c r="BB38" i="11"/>
  <c r="AZ38" i="11"/>
  <c r="AX38" i="11"/>
  <c r="AV38" i="11"/>
  <c r="AT38" i="11"/>
  <c r="AR38" i="11"/>
  <c r="AP38" i="11"/>
  <c r="AN38" i="11"/>
  <c r="AL38" i="11"/>
  <c r="AJ38" i="11"/>
  <c r="AH38" i="11"/>
  <c r="AF38" i="11"/>
  <c r="AD38" i="11"/>
  <c r="AB38" i="11"/>
  <c r="Z38" i="11"/>
  <c r="X38" i="11"/>
  <c r="V38" i="11"/>
  <c r="T38" i="11"/>
  <c r="R38" i="11"/>
  <c r="P38" i="11"/>
  <c r="N38" i="11"/>
  <c r="L38" i="11"/>
  <c r="J38" i="11"/>
  <c r="H38" i="11"/>
  <c r="BN32" i="11"/>
  <c r="BL32" i="11"/>
  <c r="BJ32" i="11"/>
  <c r="BH32" i="11"/>
  <c r="BF32" i="11"/>
  <c r="BD32" i="11"/>
  <c r="BB32" i="11"/>
  <c r="AZ32" i="11"/>
  <c r="AX32" i="11"/>
  <c r="AV32" i="11"/>
  <c r="AT32" i="11"/>
  <c r="AR32" i="11"/>
  <c r="AP32" i="11"/>
  <c r="AN32" i="11"/>
  <c r="AL32" i="11"/>
  <c r="AJ32" i="11"/>
  <c r="AH32" i="11"/>
  <c r="AF32" i="11"/>
  <c r="AD32" i="11"/>
  <c r="AB32" i="11"/>
  <c r="Z32" i="11"/>
  <c r="X32" i="11"/>
  <c r="V32" i="11"/>
  <c r="T32" i="11"/>
  <c r="R32" i="11"/>
  <c r="P32" i="11"/>
  <c r="N32" i="11"/>
  <c r="L32" i="11"/>
  <c r="J32" i="11"/>
  <c r="H32" i="11"/>
  <c r="BN28" i="11"/>
  <c r="BL28" i="11"/>
  <c r="BJ28" i="11"/>
  <c r="BH28" i="11"/>
  <c r="BF28" i="11"/>
  <c r="BD28" i="11"/>
  <c r="BB28" i="11"/>
  <c r="AZ28" i="11"/>
  <c r="AX28" i="11"/>
  <c r="AV28" i="11"/>
  <c r="AT28" i="11"/>
  <c r="AR28" i="11"/>
  <c r="AP28" i="11"/>
  <c r="AN28" i="11"/>
  <c r="AL28" i="11"/>
  <c r="AJ28" i="11"/>
  <c r="AH28" i="11"/>
  <c r="AF28" i="11"/>
  <c r="AD28" i="11"/>
  <c r="AB28" i="11"/>
  <c r="Z28" i="11"/>
  <c r="X28" i="11"/>
  <c r="V28" i="11"/>
  <c r="T28" i="11"/>
  <c r="R28" i="11"/>
  <c r="P28" i="11"/>
  <c r="N28" i="11"/>
  <c r="L28" i="11"/>
  <c r="J28" i="11"/>
  <c r="H28" i="11"/>
  <c r="BN16" i="11"/>
  <c r="BL16" i="11"/>
  <c r="BJ16" i="11"/>
  <c r="BH16" i="11"/>
  <c r="BF16" i="11"/>
  <c r="BD16" i="11"/>
  <c r="BB16" i="11"/>
  <c r="AZ16" i="11"/>
  <c r="AX16" i="11"/>
  <c r="AV16" i="11"/>
  <c r="AT16" i="11"/>
  <c r="AR16" i="11"/>
  <c r="AP16" i="11"/>
  <c r="AN16" i="11"/>
  <c r="AL16" i="11"/>
  <c r="AJ16" i="11"/>
  <c r="AH16" i="11"/>
  <c r="AF16" i="11"/>
  <c r="AD16" i="11"/>
  <c r="AB16" i="11"/>
  <c r="Z16" i="11"/>
  <c r="X16" i="11"/>
  <c r="V16" i="11"/>
  <c r="T16" i="11"/>
  <c r="R16" i="11"/>
  <c r="P16" i="11"/>
  <c r="N16" i="11"/>
  <c r="L16" i="11"/>
  <c r="J16" i="11"/>
  <c r="H16" i="11"/>
  <c r="BN10" i="11"/>
  <c r="BL10" i="11"/>
  <c r="BJ10" i="11"/>
  <c r="BH10" i="11"/>
  <c r="BF10" i="11"/>
  <c r="BD10" i="11"/>
  <c r="BB10" i="11"/>
  <c r="AZ10" i="11"/>
  <c r="AX10" i="11"/>
  <c r="AV10" i="11"/>
  <c r="AT10" i="11"/>
  <c r="AR10" i="11"/>
  <c r="AP10" i="11"/>
  <c r="AN10" i="11"/>
  <c r="AL10" i="11"/>
  <c r="AJ10" i="11"/>
  <c r="AH10" i="11"/>
  <c r="AF10" i="11"/>
  <c r="AD10" i="11"/>
  <c r="AB10" i="11"/>
  <c r="Z10" i="11"/>
  <c r="X10" i="11"/>
  <c r="V10" i="11"/>
  <c r="T10" i="11"/>
  <c r="R10" i="11"/>
  <c r="P10" i="11"/>
  <c r="N10" i="11"/>
  <c r="L10" i="11"/>
  <c r="J10" i="11"/>
  <c r="H10" i="11"/>
  <c r="L54" i="11" l="1"/>
  <c r="T54" i="11"/>
  <c r="AB54" i="11"/>
  <c r="AJ54" i="11"/>
  <c r="AR54" i="11"/>
  <c r="AZ54" i="11"/>
  <c r="BH54" i="11"/>
  <c r="AN41" i="13"/>
  <c r="AN42" i="13" s="1"/>
  <c r="R41" i="13"/>
  <c r="R42" i="13" s="1"/>
  <c r="R36" i="18"/>
  <c r="T36" i="18" s="1"/>
  <c r="W36" i="18" s="1"/>
  <c r="Q36" i="18"/>
  <c r="Q51" i="18" s="1"/>
  <c r="J39" i="11"/>
  <c r="Z39" i="11"/>
  <c r="AH39" i="11"/>
  <c r="AP39" i="11"/>
  <c r="BF39" i="11"/>
  <c r="BN39" i="11"/>
  <c r="AD54" i="11"/>
  <c r="BJ54" i="11"/>
  <c r="J41" i="13"/>
  <c r="J42" i="13" s="1"/>
  <c r="BL41" i="13"/>
  <c r="BL42" i="13" s="1"/>
  <c r="AF41" i="13"/>
  <c r="AF42" i="13" s="1"/>
  <c r="AX41" i="13"/>
  <c r="AX42" i="13" s="1"/>
  <c r="T30" i="18"/>
  <c r="W30" i="18" s="1"/>
  <c r="Y30" i="18"/>
  <c r="T14" i="18"/>
  <c r="W14" i="18" s="1"/>
  <c r="Y14" i="18"/>
  <c r="T44" i="18"/>
  <c r="W44" i="18" s="1"/>
  <c r="Y44" i="18"/>
  <c r="T31" i="18"/>
  <c r="W31" i="18" s="1"/>
  <c r="Y31" i="18"/>
  <c r="T15" i="18"/>
  <c r="W15" i="18" s="1"/>
  <c r="Y15" i="18"/>
  <c r="T28" i="18"/>
  <c r="W28" i="18" s="1"/>
  <c r="Y28" i="18"/>
  <c r="T8" i="18"/>
  <c r="W8" i="18" s="1"/>
  <c r="Y8" i="18"/>
  <c r="T49" i="18"/>
  <c r="W49" i="18" s="1"/>
  <c r="Y49" i="18"/>
  <c r="T47" i="18"/>
  <c r="W47" i="18" s="1"/>
  <c r="Y47" i="18"/>
  <c r="T38" i="18"/>
  <c r="W38" i="18" s="1"/>
  <c r="Y38" i="18"/>
  <c r="T42" i="18"/>
  <c r="W42" i="18" s="1"/>
  <c r="Y42" i="18"/>
  <c r="T32" i="18"/>
  <c r="W32" i="18" s="1"/>
  <c r="Y32" i="18"/>
  <c r="T7" i="18"/>
  <c r="W7" i="18" s="1"/>
  <c r="Y7" i="18"/>
  <c r="T50" i="18"/>
  <c r="W50" i="18" s="1"/>
  <c r="Y50" i="18"/>
  <c r="AH41" i="13"/>
  <c r="AH42" i="13" s="1"/>
  <c r="J54" i="11"/>
  <c r="J60" i="11" s="1"/>
  <c r="R54" i="11"/>
  <c r="Z54" i="11"/>
  <c r="Z60" i="11" s="1"/>
  <c r="AH54" i="11"/>
  <c r="AP54" i="11"/>
  <c r="AX54" i="11"/>
  <c r="BF54" i="11"/>
  <c r="BF60" i="11" s="1"/>
  <c r="BN54" i="11"/>
  <c r="V54" i="11"/>
  <c r="BB54" i="11"/>
  <c r="BP40" i="13"/>
  <c r="Z41" i="13"/>
  <c r="Z42" i="13" s="1"/>
  <c r="R48" i="18"/>
  <c r="M40" i="17"/>
  <c r="Y27" i="18"/>
  <c r="M52" i="17"/>
  <c r="M31" i="17"/>
  <c r="Y18" i="18"/>
  <c r="M49" i="17"/>
  <c r="M33" i="17"/>
  <c r="R20" i="18"/>
  <c r="N61" i="15"/>
  <c r="M55" i="17"/>
  <c r="Y40" i="18"/>
  <c r="U62" i="15"/>
  <c r="U64" i="15" s="1"/>
  <c r="AB62" i="15"/>
  <c r="AB64" i="15" s="1"/>
  <c r="T64" i="15"/>
  <c r="J61" i="15"/>
  <c r="J62" i="15" s="1"/>
  <c r="J64" i="15" s="1"/>
  <c r="I66" i="17"/>
  <c r="J66" i="17" s="1"/>
  <c r="M66" i="17" s="1"/>
  <c r="J58" i="17"/>
  <c r="M58" i="17" s="1"/>
  <c r="R28" i="15"/>
  <c r="N39" i="11"/>
  <c r="V39" i="11"/>
  <c r="AD39" i="11"/>
  <c r="AD60" i="11" s="1"/>
  <c r="AL39" i="11"/>
  <c r="AT39" i="11"/>
  <c r="BB39" i="11"/>
  <c r="BJ39" i="11"/>
  <c r="R39" i="11"/>
  <c r="AX39" i="11"/>
  <c r="N54" i="11"/>
  <c r="AL54" i="11"/>
  <c r="AT54" i="11"/>
  <c r="AF55" i="15"/>
  <c r="V28" i="15"/>
  <c r="V39" i="15" s="1"/>
  <c r="V61" i="15" s="1"/>
  <c r="P18" i="11"/>
  <c r="P19" i="11" s="1"/>
  <c r="X18" i="11"/>
  <c r="X19" i="11" s="1"/>
  <c r="AN18" i="11"/>
  <c r="AN19" i="11" s="1"/>
  <c r="AV18" i="11"/>
  <c r="AV19" i="11" s="1"/>
  <c r="BD18" i="11"/>
  <c r="BD19" i="11" s="1"/>
  <c r="BL18" i="11"/>
  <c r="BL19" i="11" s="1"/>
  <c r="H39" i="11"/>
  <c r="P39" i="11"/>
  <c r="X39" i="11"/>
  <c r="AF39" i="11"/>
  <c r="AN39" i="11"/>
  <c r="AV39" i="11"/>
  <c r="BD39" i="11"/>
  <c r="BD60" i="11" s="1"/>
  <c r="BD61" i="11" s="1"/>
  <c r="BD63" i="11" s="1"/>
  <c r="BL39" i="11"/>
  <c r="AD26" i="15"/>
  <c r="Z28" i="15"/>
  <c r="Z39" i="15" s="1"/>
  <c r="Z61" i="15" s="1"/>
  <c r="V5" i="15"/>
  <c r="R10" i="15"/>
  <c r="R18" i="15" s="1"/>
  <c r="R19" i="15" s="1"/>
  <c r="AF18" i="11"/>
  <c r="AF19" i="11" s="1"/>
  <c r="J18" i="11"/>
  <c r="J19" i="11" s="1"/>
  <c r="L18" i="11"/>
  <c r="L19" i="11" s="1"/>
  <c r="T18" i="11"/>
  <c r="T19" i="11" s="1"/>
  <c r="AB18" i="11"/>
  <c r="AB19" i="11" s="1"/>
  <c r="AJ18" i="11"/>
  <c r="AJ19" i="11" s="1"/>
  <c r="AR18" i="11"/>
  <c r="AR19" i="11" s="1"/>
  <c r="AZ18" i="11"/>
  <c r="AZ19" i="11" s="1"/>
  <c r="BH18" i="11"/>
  <c r="BH19" i="11" s="1"/>
  <c r="L39" i="11"/>
  <c r="L60" i="11" s="1"/>
  <c r="T39" i="11"/>
  <c r="T60" i="11" s="1"/>
  <c r="AB39" i="11"/>
  <c r="AB60" i="11" s="1"/>
  <c r="AJ39" i="11"/>
  <c r="AR39" i="11"/>
  <c r="AR60" i="11" s="1"/>
  <c r="AZ39" i="11"/>
  <c r="AZ60" i="11" s="1"/>
  <c r="BH39" i="11"/>
  <c r="BH60" i="11" s="1"/>
  <c r="H54" i="11"/>
  <c r="P54" i="11"/>
  <c r="P60" i="11" s="1"/>
  <c r="X54" i="11"/>
  <c r="X60" i="11" s="1"/>
  <c r="AF54" i="11"/>
  <c r="AN54" i="11"/>
  <c r="AV54" i="11"/>
  <c r="AV60" i="11" s="1"/>
  <c r="AV61" i="11" s="1"/>
  <c r="AV63" i="11" s="1"/>
  <c r="BD54" i="11"/>
  <c r="BL54" i="11"/>
  <c r="AT60" i="11"/>
  <c r="BB60" i="11"/>
  <c r="BJ60" i="11"/>
  <c r="H18" i="11"/>
  <c r="R18" i="11"/>
  <c r="R19" i="11" s="1"/>
  <c r="Z18" i="11"/>
  <c r="Z19" i="11" s="1"/>
  <c r="AH18" i="11"/>
  <c r="AH19" i="11" s="1"/>
  <c r="AP18" i="11"/>
  <c r="AP19" i="11" s="1"/>
  <c r="AX18" i="11"/>
  <c r="AX19" i="11" s="1"/>
  <c r="BF18" i="11"/>
  <c r="BF19" i="11" s="1"/>
  <c r="BN18" i="11"/>
  <c r="BN19" i="11" s="1"/>
  <c r="N18" i="11"/>
  <c r="N19" i="11" s="1"/>
  <c r="V18" i="11"/>
  <c r="V19" i="11" s="1"/>
  <c r="AD18" i="11"/>
  <c r="AD19" i="11" s="1"/>
  <c r="AD61" i="11" s="1"/>
  <c r="AD63" i="11" s="1"/>
  <c r="AL18" i="11"/>
  <c r="AL19" i="11" s="1"/>
  <c r="AT18" i="11"/>
  <c r="AT19" i="11" s="1"/>
  <c r="BB18" i="11"/>
  <c r="BB19" i="11" s="1"/>
  <c r="BJ18" i="11"/>
  <c r="BJ19" i="11" s="1"/>
  <c r="BJ61" i="11" s="1"/>
  <c r="BJ63" i="11" s="1"/>
  <c r="M61" i="15"/>
  <c r="AC61" i="15"/>
  <c r="I61" i="15"/>
  <c r="I62" i="15" s="1"/>
  <c r="Y61" i="15"/>
  <c r="X61" i="15"/>
  <c r="H61" i="15"/>
  <c r="L61" i="15"/>
  <c r="P61" i="15"/>
  <c r="Q61" i="15"/>
  <c r="Q62" i="15" s="1"/>
  <c r="AH60" i="11"/>
  <c r="BN60" i="11"/>
  <c r="BP21" i="13"/>
  <c r="H41" i="13"/>
  <c r="BP22" i="13"/>
  <c r="BF61" i="9"/>
  <c r="BD61" i="9"/>
  <c r="BB58" i="9"/>
  <c r="AZ58" i="9"/>
  <c r="AX58" i="9"/>
  <c r="AV58" i="9"/>
  <c r="AT58" i="9"/>
  <c r="AR58" i="9"/>
  <c r="AP58" i="9"/>
  <c r="AN58" i="9"/>
  <c r="AL58" i="9"/>
  <c r="AJ58" i="9"/>
  <c r="AH58" i="9"/>
  <c r="AF58" i="9"/>
  <c r="AD58" i="9"/>
  <c r="AB58" i="9"/>
  <c r="Z58" i="9"/>
  <c r="X58" i="9"/>
  <c r="V58" i="9"/>
  <c r="T58" i="9"/>
  <c r="R58" i="9"/>
  <c r="P58" i="9"/>
  <c r="N58" i="9"/>
  <c r="L58" i="9"/>
  <c r="J58" i="9"/>
  <c r="H58" i="9"/>
  <c r="BF57" i="9"/>
  <c r="BD57" i="9"/>
  <c r="BF56" i="9"/>
  <c r="BD56" i="9"/>
  <c r="BF55" i="9"/>
  <c r="BD55" i="9"/>
  <c r="BF52" i="9"/>
  <c r="BD52" i="9"/>
  <c r="BF51" i="9"/>
  <c r="BD51" i="9"/>
  <c r="BB50" i="9"/>
  <c r="AZ50" i="9"/>
  <c r="AX50" i="9"/>
  <c r="AV50" i="9"/>
  <c r="AT50" i="9"/>
  <c r="AR50" i="9"/>
  <c r="AP50" i="9"/>
  <c r="AN50" i="9"/>
  <c r="AL50" i="9"/>
  <c r="AJ50" i="9"/>
  <c r="AH50" i="9"/>
  <c r="AF50" i="9"/>
  <c r="AD50" i="9"/>
  <c r="AB50" i="9"/>
  <c r="Z50" i="9"/>
  <c r="X50" i="9"/>
  <c r="V50" i="9"/>
  <c r="T50" i="9"/>
  <c r="R50" i="9"/>
  <c r="P50" i="9"/>
  <c r="N50" i="9"/>
  <c r="L50" i="9"/>
  <c r="J50" i="9"/>
  <c r="H50" i="9"/>
  <c r="BF49" i="9"/>
  <c r="BD49" i="9"/>
  <c r="BF48" i="9"/>
  <c r="BD48" i="9"/>
  <c r="BF46" i="9"/>
  <c r="BD46" i="9"/>
  <c r="BB45" i="9"/>
  <c r="AZ45" i="9"/>
  <c r="AX45" i="9"/>
  <c r="AV45" i="9"/>
  <c r="AT45" i="9"/>
  <c r="AR45" i="9"/>
  <c r="AP45" i="9"/>
  <c r="AN45" i="9"/>
  <c r="AL45" i="9"/>
  <c r="AJ45" i="9"/>
  <c r="AH45" i="9"/>
  <c r="AF45" i="9"/>
  <c r="AD45" i="9"/>
  <c r="AB45" i="9"/>
  <c r="Z45" i="9"/>
  <c r="X45" i="9"/>
  <c r="V45" i="9"/>
  <c r="T45" i="9"/>
  <c r="R45" i="9"/>
  <c r="P45" i="9"/>
  <c r="N45" i="9"/>
  <c r="L45" i="9"/>
  <c r="J45" i="9"/>
  <c r="H45" i="9"/>
  <c r="BF44" i="9"/>
  <c r="BD44" i="9"/>
  <c r="BF43" i="9"/>
  <c r="BD43" i="9"/>
  <c r="BF41" i="9"/>
  <c r="BD41" i="9"/>
  <c r="BF40" i="9"/>
  <c r="BD40" i="9"/>
  <c r="BB37" i="9"/>
  <c r="AZ37" i="9"/>
  <c r="AX37" i="9"/>
  <c r="AV37" i="9"/>
  <c r="AT37" i="9"/>
  <c r="AR37" i="9"/>
  <c r="AP37" i="9"/>
  <c r="AN37" i="9"/>
  <c r="AL37" i="9"/>
  <c r="AJ37" i="9"/>
  <c r="AH37" i="9"/>
  <c r="AF37" i="9"/>
  <c r="AD37" i="9"/>
  <c r="AB37" i="9"/>
  <c r="Z37" i="9"/>
  <c r="X37" i="9"/>
  <c r="V37" i="9"/>
  <c r="T37" i="9"/>
  <c r="R37" i="9"/>
  <c r="P37" i="9"/>
  <c r="N37" i="9"/>
  <c r="L37" i="9"/>
  <c r="J37" i="9"/>
  <c r="H37" i="9"/>
  <c r="BF36" i="9"/>
  <c r="BD36" i="9"/>
  <c r="BF34" i="9"/>
  <c r="BD34" i="9"/>
  <c r="BF33" i="9"/>
  <c r="BD33" i="9"/>
  <c r="BF32" i="9"/>
  <c r="BD32" i="9"/>
  <c r="BB31" i="9"/>
  <c r="AZ31" i="9"/>
  <c r="AX31" i="9"/>
  <c r="AV31" i="9"/>
  <c r="AT31" i="9"/>
  <c r="AR31" i="9"/>
  <c r="AP31" i="9"/>
  <c r="AN31" i="9"/>
  <c r="AL31" i="9"/>
  <c r="AJ31" i="9"/>
  <c r="AH31" i="9"/>
  <c r="AF31" i="9"/>
  <c r="AD31" i="9"/>
  <c r="AB31" i="9"/>
  <c r="Z31" i="9"/>
  <c r="X31" i="9"/>
  <c r="V31" i="9"/>
  <c r="T31" i="9"/>
  <c r="R31" i="9"/>
  <c r="P31" i="9"/>
  <c r="N31" i="9"/>
  <c r="L31" i="9"/>
  <c r="J31" i="9"/>
  <c r="H31" i="9"/>
  <c r="BF30" i="9"/>
  <c r="BD30" i="9"/>
  <c r="BF29" i="9"/>
  <c r="BD29" i="9"/>
  <c r="BB27" i="9"/>
  <c r="AZ27" i="9"/>
  <c r="AZ38" i="9" s="1"/>
  <c r="AX27" i="9"/>
  <c r="AX38" i="9" s="1"/>
  <c r="AV27" i="9"/>
  <c r="AV38" i="9" s="1"/>
  <c r="AT27" i="9"/>
  <c r="AR27" i="9"/>
  <c r="AR38" i="9" s="1"/>
  <c r="AP27" i="9"/>
  <c r="AP38" i="9" s="1"/>
  <c r="AN27" i="9"/>
  <c r="AN38" i="9" s="1"/>
  <c r="AL27" i="9"/>
  <c r="AJ27" i="9"/>
  <c r="AJ38" i="9" s="1"/>
  <c r="AH27" i="9"/>
  <c r="AH38" i="9" s="1"/>
  <c r="AF27" i="9"/>
  <c r="AF38" i="9" s="1"/>
  <c r="AD27" i="9"/>
  <c r="AB27" i="9"/>
  <c r="AB38" i="9" s="1"/>
  <c r="Z27" i="9"/>
  <c r="Z38" i="9" s="1"/>
  <c r="X27" i="9"/>
  <c r="X38" i="9" s="1"/>
  <c r="V27" i="9"/>
  <c r="T27" i="9"/>
  <c r="T38" i="9" s="1"/>
  <c r="R27" i="9"/>
  <c r="R38" i="9" s="1"/>
  <c r="P27" i="9"/>
  <c r="P38" i="9" s="1"/>
  <c r="N27" i="9"/>
  <c r="L27" i="9"/>
  <c r="L38" i="9" s="1"/>
  <c r="J27" i="9"/>
  <c r="J38" i="9" s="1"/>
  <c r="H27" i="9"/>
  <c r="BF26" i="9"/>
  <c r="BD26" i="9"/>
  <c r="BF25" i="9"/>
  <c r="BD25" i="9"/>
  <c r="BF24" i="9"/>
  <c r="BD24" i="9"/>
  <c r="BF22" i="9"/>
  <c r="BD22" i="9"/>
  <c r="BF20" i="9"/>
  <c r="BD20" i="9"/>
  <c r="BF16" i="9"/>
  <c r="BD16" i="9"/>
  <c r="BB15" i="9"/>
  <c r="AZ15" i="9"/>
  <c r="AX15" i="9"/>
  <c r="AV15" i="9"/>
  <c r="AT15" i="9"/>
  <c r="AR15" i="9"/>
  <c r="AP15" i="9"/>
  <c r="AN15" i="9"/>
  <c r="AL15" i="9"/>
  <c r="AJ15" i="9"/>
  <c r="AH15" i="9"/>
  <c r="AF15" i="9"/>
  <c r="AD15" i="9"/>
  <c r="AB15" i="9"/>
  <c r="Z15" i="9"/>
  <c r="X15" i="9"/>
  <c r="V15" i="9"/>
  <c r="T15" i="9"/>
  <c r="R15" i="9"/>
  <c r="P15" i="9"/>
  <c r="N15" i="9"/>
  <c r="L15" i="9"/>
  <c r="J15" i="9"/>
  <c r="H15" i="9"/>
  <c r="BF14" i="9"/>
  <c r="BD14" i="9"/>
  <c r="BF13" i="9"/>
  <c r="BD13" i="9"/>
  <c r="BF11" i="9"/>
  <c r="BD11" i="9"/>
  <c r="BB10" i="9"/>
  <c r="BB17" i="9" s="1"/>
  <c r="BB18" i="9" s="1"/>
  <c r="AZ10" i="9"/>
  <c r="AX10" i="9"/>
  <c r="AV10" i="9"/>
  <c r="AT10" i="9"/>
  <c r="AT17" i="9" s="1"/>
  <c r="AT18" i="9" s="1"/>
  <c r="AR10" i="9"/>
  <c r="AP10" i="9"/>
  <c r="AN10" i="9"/>
  <c r="AL10" i="9"/>
  <c r="AL17" i="9" s="1"/>
  <c r="AL18" i="9" s="1"/>
  <c r="AJ10" i="9"/>
  <c r="AH10" i="9"/>
  <c r="AF10" i="9"/>
  <c r="AD10" i="9"/>
  <c r="AD17" i="9" s="1"/>
  <c r="AD18" i="9" s="1"/>
  <c r="AB10" i="9"/>
  <c r="Z10" i="9"/>
  <c r="X10" i="9"/>
  <c r="V10" i="9"/>
  <c r="V17" i="9" s="1"/>
  <c r="V18" i="9" s="1"/>
  <c r="T10" i="9"/>
  <c r="R10" i="9"/>
  <c r="P10" i="9"/>
  <c r="N10" i="9"/>
  <c r="N17" i="9" s="1"/>
  <c r="N18" i="9" s="1"/>
  <c r="L10" i="9"/>
  <c r="J10" i="9"/>
  <c r="H10" i="9"/>
  <c r="BF9" i="9"/>
  <c r="BD9" i="9"/>
  <c r="BF8" i="9"/>
  <c r="BD8" i="9"/>
  <c r="BF7" i="9"/>
  <c r="BD7" i="9"/>
  <c r="BF6" i="9"/>
  <c r="P61" i="11" l="1"/>
  <c r="P63" i="11" s="1"/>
  <c r="Y20" i="18"/>
  <c r="BF61" i="11"/>
  <c r="BF63" i="11" s="1"/>
  <c r="L17" i="9"/>
  <c r="L18" i="9" s="1"/>
  <c r="T17" i="9"/>
  <c r="T18" i="9" s="1"/>
  <c r="AB17" i="9"/>
  <c r="AB18" i="9" s="1"/>
  <c r="AJ17" i="9"/>
  <c r="AJ18" i="9" s="1"/>
  <c r="AR17" i="9"/>
  <c r="AR18" i="9" s="1"/>
  <c r="AZ17" i="9"/>
  <c r="AZ18" i="9" s="1"/>
  <c r="BD15" i="9"/>
  <c r="BD27" i="9"/>
  <c r="BD31" i="9"/>
  <c r="BD37" i="9"/>
  <c r="BD45" i="9"/>
  <c r="P53" i="9"/>
  <c r="P59" i="9" s="1"/>
  <c r="X53" i="9"/>
  <c r="X59" i="9" s="1"/>
  <c r="AF53" i="9"/>
  <c r="AF59" i="9" s="1"/>
  <c r="AN53" i="9"/>
  <c r="AN59" i="9" s="1"/>
  <c r="AV53" i="9"/>
  <c r="AV59" i="9" s="1"/>
  <c r="AJ60" i="11"/>
  <c r="H60" i="11"/>
  <c r="AX60" i="11"/>
  <c r="N60" i="11"/>
  <c r="V60" i="11"/>
  <c r="AP60" i="11"/>
  <c r="BF15" i="9"/>
  <c r="BF31" i="9"/>
  <c r="BF37" i="9"/>
  <c r="BF45" i="9"/>
  <c r="R53" i="9"/>
  <c r="R59" i="9" s="1"/>
  <c r="Z53" i="9"/>
  <c r="Z59" i="9" s="1"/>
  <c r="AH53" i="9"/>
  <c r="AH59" i="9" s="1"/>
  <c r="AP53" i="9"/>
  <c r="AP59" i="9" s="1"/>
  <c r="AX53" i="9"/>
  <c r="AX59" i="9" s="1"/>
  <c r="AL53" i="9"/>
  <c r="AF60" i="11"/>
  <c r="AF61" i="11" s="1"/>
  <c r="AF63" i="11" s="1"/>
  <c r="R60" i="11"/>
  <c r="AL60" i="11"/>
  <c r="T33" i="18"/>
  <c r="W33" i="18" s="1"/>
  <c r="Y33" i="18"/>
  <c r="T48" i="18"/>
  <c r="W48" i="18" s="1"/>
  <c r="Y48" i="18"/>
  <c r="T18" i="18"/>
  <c r="W18" i="18" s="1"/>
  <c r="J61" i="11"/>
  <c r="J63" i="11" s="1"/>
  <c r="X61" i="11"/>
  <c r="X63" i="11" s="1"/>
  <c r="P17" i="9"/>
  <c r="P18" i="9" s="1"/>
  <c r="X17" i="9"/>
  <c r="X18" i="9" s="1"/>
  <c r="AF17" i="9"/>
  <c r="AF18" i="9" s="1"/>
  <c r="AZ59" i="9"/>
  <c r="AZ60" i="9" s="1"/>
  <c r="AZ62" i="9" s="1"/>
  <c r="L53" i="9"/>
  <c r="L59" i="9" s="1"/>
  <c r="L60" i="9" s="1"/>
  <c r="L62" i="9" s="1"/>
  <c r="T53" i="9"/>
  <c r="T59" i="9" s="1"/>
  <c r="T60" i="9" s="1"/>
  <c r="T62" i="9" s="1"/>
  <c r="AB53" i="9"/>
  <c r="AB59" i="9" s="1"/>
  <c r="AB60" i="9" s="1"/>
  <c r="AB62" i="9" s="1"/>
  <c r="AJ53" i="9"/>
  <c r="AJ59" i="9" s="1"/>
  <c r="AJ60" i="9" s="1"/>
  <c r="AJ62" i="9" s="1"/>
  <c r="AR53" i="9"/>
  <c r="AR59" i="9" s="1"/>
  <c r="AR60" i="9" s="1"/>
  <c r="AR62" i="9" s="1"/>
  <c r="AZ53" i="9"/>
  <c r="AH61" i="11"/>
  <c r="AH63" i="11" s="1"/>
  <c r="AX61" i="11"/>
  <c r="AX63" i="11" s="1"/>
  <c r="AN60" i="11"/>
  <c r="AN61" i="11" s="1"/>
  <c r="AN63" i="11" s="1"/>
  <c r="R39" i="15"/>
  <c r="R61" i="15" s="1"/>
  <c r="R62" i="15" s="1"/>
  <c r="R64" i="15" s="1"/>
  <c r="H17" i="9"/>
  <c r="N53" i="9"/>
  <c r="V53" i="9"/>
  <c r="AD53" i="9"/>
  <c r="AT53" i="9"/>
  <c r="BB53" i="9"/>
  <c r="AP61" i="11"/>
  <c r="AP63" i="11" s="1"/>
  <c r="BL60" i="11"/>
  <c r="BL61" i="11" s="1"/>
  <c r="BL63" i="11" s="1"/>
  <c r="AZ61" i="11"/>
  <c r="AZ63" i="11" s="1"/>
  <c r="T61" i="11"/>
  <c r="T63" i="11" s="1"/>
  <c r="R29" i="18"/>
  <c r="R34" i="18" s="1"/>
  <c r="T27" i="18"/>
  <c r="W27" i="18" s="1"/>
  <c r="T20" i="18"/>
  <c r="W20" i="18" s="1"/>
  <c r="T40" i="18"/>
  <c r="W40" i="18" s="1"/>
  <c r="R43" i="18"/>
  <c r="I64" i="15"/>
  <c r="Y62" i="15"/>
  <c r="Y64" i="15" s="1"/>
  <c r="H62" i="15"/>
  <c r="H64" i="15" s="1"/>
  <c r="AC62" i="15"/>
  <c r="AC64" i="15" s="1"/>
  <c r="L62" i="15"/>
  <c r="L64" i="15" s="1"/>
  <c r="M62" i="15"/>
  <c r="M64" i="15" s="1"/>
  <c r="Q64" i="15"/>
  <c r="X62" i="15"/>
  <c r="X64" i="15" s="1"/>
  <c r="P62" i="15"/>
  <c r="P64" i="15" s="1"/>
  <c r="N62" i="15"/>
  <c r="N64" i="15" s="1"/>
  <c r="AN17" i="9"/>
  <c r="AN18" i="9" s="1"/>
  <c r="AV17" i="9"/>
  <c r="AV18" i="9" s="1"/>
  <c r="BD50" i="9"/>
  <c r="BD58" i="9"/>
  <c r="V61" i="11"/>
  <c r="V63" i="11" s="1"/>
  <c r="R61" i="11"/>
  <c r="R63" i="11" s="1"/>
  <c r="J17" i="9"/>
  <c r="R17" i="9"/>
  <c r="R18" i="9" s="1"/>
  <c r="Z17" i="9"/>
  <c r="Z18" i="9" s="1"/>
  <c r="AH17" i="9"/>
  <c r="AH18" i="9" s="1"/>
  <c r="AP17" i="9"/>
  <c r="AP18" i="9" s="1"/>
  <c r="AX17" i="9"/>
  <c r="AX18" i="9" s="1"/>
  <c r="N38" i="9"/>
  <c r="N59" i="9" s="1"/>
  <c r="V38" i="9"/>
  <c r="V59" i="9" s="1"/>
  <c r="AD38" i="9"/>
  <c r="AL38" i="9"/>
  <c r="AT38" i="9"/>
  <c r="AT59" i="9" s="1"/>
  <c r="AT60" i="9" s="1"/>
  <c r="AT62" i="9" s="1"/>
  <c r="BB38" i="9"/>
  <c r="BB59" i="9" s="1"/>
  <c r="BB60" i="9" s="1"/>
  <c r="BB62" i="9" s="1"/>
  <c r="BF50" i="9"/>
  <c r="BF58" i="9"/>
  <c r="AT61" i="11"/>
  <c r="AT63" i="11" s="1"/>
  <c r="AJ61" i="11"/>
  <c r="AJ63" i="11" s="1"/>
  <c r="Z61" i="11"/>
  <c r="Z63" i="11" s="1"/>
  <c r="AL61" i="11"/>
  <c r="AL63" i="11" s="1"/>
  <c r="BH61" i="11"/>
  <c r="BH63" i="11" s="1"/>
  <c r="AB61" i="11"/>
  <c r="AB63" i="11" s="1"/>
  <c r="AD28" i="15"/>
  <c r="AF26" i="15"/>
  <c r="I36" i="17" s="1"/>
  <c r="Z5" i="15"/>
  <c r="V10" i="15"/>
  <c r="V18" i="15" s="1"/>
  <c r="V19" i="15" s="1"/>
  <c r="H19" i="11"/>
  <c r="N61" i="11"/>
  <c r="N63" i="11" s="1"/>
  <c r="AR61" i="11"/>
  <c r="AR63" i="11" s="1"/>
  <c r="L61" i="11"/>
  <c r="L63" i="11" s="1"/>
  <c r="BN61" i="11"/>
  <c r="BN63" i="11" s="1"/>
  <c r="BB61" i="11"/>
  <c r="BB63" i="11" s="1"/>
  <c r="N60" i="9"/>
  <c r="N62" i="9" s="1"/>
  <c r="V60" i="9"/>
  <c r="V62" i="9" s="1"/>
  <c r="J18" i="9"/>
  <c r="H18" i="9"/>
  <c r="BF27" i="9"/>
  <c r="BD10" i="9"/>
  <c r="H38" i="9"/>
  <c r="H53" i="9"/>
  <c r="H42" i="13"/>
  <c r="BP42" i="13" s="1"/>
  <c r="BP41" i="13"/>
  <c r="BF10" i="9"/>
  <c r="J53" i="9"/>
  <c r="AB80" i="5"/>
  <c r="AD80" i="5" s="1"/>
  <c r="Z80" i="5"/>
  <c r="R80" i="5"/>
  <c r="L80" i="5"/>
  <c r="P78" i="5"/>
  <c r="AB77" i="5"/>
  <c r="Z77" i="5"/>
  <c r="X77" i="5"/>
  <c r="R77" i="5"/>
  <c r="V76" i="5"/>
  <c r="T76" i="5"/>
  <c r="X76" i="5" s="1"/>
  <c r="P76" i="5"/>
  <c r="AB76" i="5" s="1"/>
  <c r="N76" i="5"/>
  <c r="H76" i="5"/>
  <c r="AB75" i="5"/>
  <c r="Z75" i="5"/>
  <c r="X75" i="5"/>
  <c r="AB74" i="5"/>
  <c r="Z74" i="5"/>
  <c r="R74" i="5"/>
  <c r="AB73" i="5"/>
  <c r="AD73" i="5" s="1"/>
  <c r="Z73" i="5"/>
  <c r="X73" i="5"/>
  <c r="R73" i="5"/>
  <c r="AB72" i="5"/>
  <c r="Z72" i="5"/>
  <c r="X72" i="5"/>
  <c r="AB71" i="5"/>
  <c r="Z71" i="5"/>
  <c r="AD71" i="5" s="1"/>
  <c r="R71" i="5"/>
  <c r="AB70" i="5"/>
  <c r="Z70" i="5"/>
  <c r="AD70" i="5" s="1"/>
  <c r="X70" i="5"/>
  <c r="AB69" i="5"/>
  <c r="Z69" i="5"/>
  <c r="AD69" i="5" s="1"/>
  <c r="X69" i="5"/>
  <c r="AB67" i="5"/>
  <c r="Z67" i="5"/>
  <c r="X67" i="5"/>
  <c r="T66" i="5"/>
  <c r="N66" i="5"/>
  <c r="J66" i="5"/>
  <c r="AB66" i="5" s="1"/>
  <c r="H66" i="5"/>
  <c r="AB65" i="5"/>
  <c r="Z65" i="5"/>
  <c r="AD65" i="5" s="1"/>
  <c r="L65" i="5"/>
  <c r="AB64" i="5"/>
  <c r="Z64" i="5"/>
  <c r="AD64" i="5" s="1"/>
  <c r="L64" i="5"/>
  <c r="AB63" i="5"/>
  <c r="Z63" i="5"/>
  <c r="AD63" i="5" s="1"/>
  <c r="L63" i="5"/>
  <c r="AB62" i="5"/>
  <c r="Z62" i="5"/>
  <c r="L62" i="5"/>
  <c r="AB59" i="5"/>
  <c r="Z59" i="5"/>
  <c r="AD59" i="5" s="1"/>
  <c r="L59" i="5"/>
  <c r="AB58" i="5"/>
  <c r="Z58" i="5"/>
  <c r="AD58" i="5" s="1"/>
  <c r="L58" i="5"/>
  <c r="T57" i="5"/>
  <c r="N57" i="5"/>
  <c r="J57" i="5"/>
  <c r="AB57" i="5" s="1"/>
  <c r="H57" i="5"/>
  <c r="Z57" i="5" s="1"/>
  <c r="AB56" i="5"/>
  <c r="Z56" i="5"/>
  <c r="AD56" i="5" s="1"/>
  <c r="L56" i="5"/>
  <c r="AB55" i="5"/>
  <c r="Z55" i="5"/>
  <c r="AB53" i="5"/>
  <c r="Z53" i="5"/>
  <c r="L53" i="5"/>
  <c r="T52" i="5"/>
  <c r="N52" i="5"/>
  <c r="N60" i="5" s="1"/>
  <c r="J52" i="5"/>
  <c r="AB52" i="5" s="1"/>
  <c r="H52" i="5"/>
  <c r="AB51" i="5"/>
  <c r="Z51" i="5"/>
  <c r="L51" i="5"/>
  <c r="AB50" i="5"/>
  <c r="Z50" i="5"/>
  <c r="L50" i="5"/>
  <c r="AB48" i="5"/>
  <c r="Z48" i="5"/>
  <c r="L48" i="5"/>
  <c r="AB47" i="5"/>
  <c r="Z47" i="5"/>
  <c r="L47" i="5"/>
  <c r="T44" i="5"/>
  <c r="N44" i="5"/>
  <c r="J44" i="5"/>
  <c r="H44" i="5"/>
  <c r="AB43" i="5"/>
  <c r="Z43" i="5"/>
  <c r="L43" i="5"/>
  <c r="AB42" i="5"/>
  <c r="Z42" i="5"/>
  <c r="L42" i="5"/>
  <c r="AB40" i="5"/>
  <c r="Z40" i="5"/>
  <c r="L40" i="5"/>
  <c r="AB39" i="5"/>
  <c r="Z39" i="5"/>
  <c r="L39" i="5"/>
  <c r="AB38" i="5"/>
  <c r="Z38" i="5"/>
  <c r="L38" i="5"/>
  <c r="T37" i="5"/>
  <c r="N37" i="5"/>
  <c r="J37" i="5"/>
  <c r="AB37" i="5" s="1"/>
  <c r="H37" i="5"/>
  <c r="AB36" i="5"/>
  <c r="Z36" i="5"/>
  <c r="L36" i="5"/>
  <c r="AB35" i="5"/>
  <c r="AD35" i="5" s="1"/>
  <c r="Z35" i="5"/>
  <c r="L35" i="5"/>
  <c r="V33" i="5"/>
  <c r="V45" i="5" s="1"/>
  <c r="V78" i="5" s="1"/>
  <c r="T33" i="5"/>
  <c r="N33" i="5"/>
  <c r="J33" i="5"/>
  <c r="AB33" i="5" s="1"/>
  <c r="H33" i="5"/>
  <c r="AB32" i="5"/>
  <c r="Z32" i="5"/>
  <c r="X32" i="5"/>
  <c r="L32" i="5"/>
  <c r="AB31" i="5"/>
  <c r="Z31" i="5"/>
  <c r="L31" i="5"/>
  <c r="AB30" i="5"/>
  <c r="Z30" i="5"/>
  <c r="L30" i="5"/>
  <c r="AB28" i="5"/>
  <c r="AD28" i="5" s="1"/>
  <c r="Z28" i="5"/>
  <c r="L28" i="5"/>
  <c r="AB26" i="5"/>
  <c r="Z26" i="5"/>
  <c r="L26" i="5"/>
  <c r="P23" i="5"/>
  <c r="P24" i="5" s="1"/>
  <c r="AB22" i="5"/>
  <c r="Z22" i="5"/>
  <c r="V21" i="5"/>
  <c r="T21" i="5"/>
  <c r="N21" i="5"/>
  <c r="J21" i="5"/>
  <c r="AB21" i="5" s="1"/>
  <c r="H21" i="5"/>
  <c r="AB20" i="5"/>
  <c r="Z20" i="5"/>
  <c r="X20" i="5"/>
  <c r="L20" i="5"/>
  <c r="AB19" i="5"/>
  <c r="Z19" i="5"/>
  <c r="AB17" i="5"/>
  <c r="AD17" i="5" s="1"/>
  <c r="Z17" i="5"/>
  <c r="L17" i="5"/>
  <c r="V16" i="5"/>
  <c r="X16" i="5" s="1"/>
  <c r="T16" i="5"/>
  <c r="N16" i="5"/>
  <c r="J16" i="5"/>
  <c r="AB16" i="5" s="1"/>
  <c r="H16" i="5"/>
  <c r="AB15" i="5"/>
  <c r="Z15" i="5"/>
  <c r="X15" i="5"/>
  <c r="AB14" i="5"/>
  <c r="Z14" i="5"/>
  <c r="X14" i="5"/>
  <c r="L14" i="5"/>
  <c r="V12" i="5"/>
  <c r="T12" i="5"/>
  <c r="T23" i="5" s="1"/>
  <c r="T24" i="5" s="1"/>
  <c r="N12" i="5"/>
  <c r="J12" i="5"/>
  <c r="AB12" i="5" s="1"/>
  <c r="H12" i="5"/>
  <c r="H23" i="5" s="1"/>
  <c r="H24" i="5" s="1"/>
  <c r="AB11" i="5"/>
  <c r="Z11" i="5"/>
  <c r="X11" i="5"/>
  <c r="AB10" i="5"/>
  <c r="Z10" i="5"/>
  <c r="X10" i="5"/>
  <c r="L10" i="5"/>
  <c r="AB9" i="5"/>
  <c r="Z9" i="5"/>
  <c r="AB8" i="5"/>
  <c r="Z8" i="5"/>
  <c r="L8" i="5"/>
  <c r="AB7" i="5"/>
  <c r="Z7" i="5"/>
  <c r="L7" i="5"/>
  <c r="AB6" i="5"/>
  <c r="Z6" i="5"/>
  <c r="X6" i="5"/>
  <c r="L6" i="5"/>
  <c r="AH60" i="9" l="1"/>
  <c r="AH62" i="9" s="1"/>
  <c r="AV60" i="9"/>
  <c r="AV62" i="9" s="1"/>
  <c r="L16" i="5"/>
  <c r="AD26" i="5"/>
  <c r="L33" i="5"/>
  <c r="AD47" i="5"/>
  <c r="L52" i="5"/>
  <c r="AD7" i="5"/>
  <c r="AL59" i="9"/>
  <c r="AL60" i="9" s="1"/>
  <c r="AL62" i="9" s="1"/>
  <c r="AX60" i="9"/>
  <c r="AX62" i="9" s="1"/>
  <c r="R60" i="9"/>
  <c r="R62" i="9" s="1"/>
  <c r="P60" i="9"/>
  <c r="P62" i="9" s="1"/>
  <c r="AF60" i="9"/>
  <c r="AF62" i="9" s="1"/>
  <c r="X33" i="5"/>
  <c r="AD39" i="5"/>
  <c r="Z60" i="9"/>
  <c r="Z62" i="9" s="1"/>
  <c r="AN60" i="9"/>
  <c r="AN62" i="9" s="1"/>
  <c r="X60" i="9"/>
  <c r="X62" i="9" s="1"/>
  <c r="AD31" i="5"/>
  <c r="AD53" i="5"/>
  <c r="AD10" i="5"/>
  <c r="V23" i="5"/>
  <c r="AD30" i="5"/>
  <c r="BF38" i="9"/>
  <c r="H61" i="11"/>
  <c r="AP60" i="9"/>
  <c r="AP62" i="9" s="1"/>
  <c r="T29" i="18"/>
  <c r="W29" i="18" s="1"/>
  <c r="Y29" i="18"/>
  <c r="R51" i="18"/>
  <c r="Y43" i="18"/>
  <c r="AD15" i="5"/>
  <c r="AD20" i="5"/>
  <c r="AD43" i="5"/>
  <c r="BD17" i="9"/>
  <c r="AD38" i="5"/>
  <c r="BF53" i="9"/>
  <c r="L12" i="5"/>
  <c r="X12" i="5"/>
  <c r="AD14" i="5"/>
  <c r="Z21" i="5"/>
  <c r="T45" i="5"/>
  <c r="AD36" i="5"/>
  <c r="AD42" i="5"/>
  <c r="Z44" i="5"/>
  <c r="AD50" i="5"/>
  <c r="Z52" i="5"/>
  <c r="AD52" i="5" s="1"/>
  <c r="Z66" i="5"/>
  <c r="AD75" i="5"/>
  <c r="AD19" i="5"/>
  <c r="AD32" i="5"/>
  <c r="AD51" i="5"/>
  <c r="AD57" i="5"/>
  <c r="BD53" i="9"/>
  <c r="AD9" i="5"/>
  <c r="AD22" i="5"/>
  <c r="Z37" i="5"/>
  <c r="AD37" i="5" s="1"/>
  <c r="AD48" i="5"/>
  <c r="AD55" i="5"/>
  <c r="AD62" i="5"/>
  <c r="AD67" i="5"/>
  <c r="AD72" i="5"/>
  <c r="AD74" i="5"/>
  <c r="Z76" i="5"/>
  <c r="AD76" i="5" s="1"/>
  <c r="AD59" i="9"/>
  <c r="AD60" i="9" s="1"/>
  <c r="AD62" i="9" s="1"/>
  <c r="T43" i="18"/>
  <c r="W43" i="18" s="1"/>
  <c r="V62" i="15"/>
  <c r="V64" i="15" s="1"/>
  <c r="J36" i="17"/>
  <c r="M36" i="17" s="1"/>
  <c r="I38" i="17"/>
  <c r="AD6" i="5"/>
  <c r="AD11" i="5"/>
  <c r="Z12" i="5"/>
  <c r="AD12" i="5" s="1"/>
  <c r="N23" i="5"/>
  <c r="N24" i="5" s="1"/>
  <c r="R24" i="5" s="1"/>
  <c r="N45" i="5"/>
  <c r="N78" i="5" s="1"/>
  <c r="R78" i="5" s="1"/>
  <c r="AD40" i="5"/>
  <c r="J45" i="5"/>
  <c r="AB45" i="5" s="1"/>
  <c r="AD39" i="15"/>
  <c r="AD61" i="15" s="1"/>
  <c r="AF28" i="15"/>
  <c r="H45" i="5"/>
  <c r="Z45" i="5" s="1"/>
  <c r="T60" i="5"/>
  <c r="T78" i="5" s="1"/>
  <c r="BF17" i="9"/>
  <c r="AD8" i="5"/>
  <c r="X21" i="5"/>
  <c r="R76" i="5"/>
  <c r="AD77" i="5"/>
  <c r="J59" i="9"/>
  <c r="Z10" i="15"/>
  <c r="Z18" i="15" s="1"/>
  <c r="Z19" i="15" s="1"/>
  <c r="AD5" i="15"/>
  <c r="V24" i="5"/>
  <c r="X23" i="5"/>
  <c r="Z24" i="5"/>
  <c r="AD21" i="5"/>
  <c r="P79" i="5"/>
  <c r="AD66" i="5"/>
  <c r="H60" i="5"/>
  <c r="H78" i="5" s="1"/>
  <c r="L21" i="5"/>
  <c r="J23" i="5"/>
  <c r="Z23" i="5"/>
  <c r="L37" i="5"/>
  <c r="L44" i="5"/>
  <c r="AB44" i="5"/>
  <c r="X45" i="5"/>
  <c r="J60" i="5"/>
  <c r="H63" i="11"/>
  <c r="BD18" i="9"/>
  <c r="Z33" i="5"/>
  <c r="AD33" i="5" s="1"/>
  <c r="L57" i="5"/>
  <c r="L66" i="5"/>
  <c r="BF18" i="9"/>
  <c r="J60" i="9"/>
  <c r="Z16" i="5"/>
  <c r="AD16" i="5" s="1"/>
  <c r="H59" i="9"/>
  <c r="BD59" i="9" s="1"/>
  <c r="BD38" i="9"/>
  <c r="AB87" i="3"/>
  <c r="AD87" i="3" s="1"/>
  <c r="Z87" i="3"/>
  <c r="R87" i="3"/>
  <c r="L87" i="3"/>
  <c r="AB84" i="3"/>
  <c r="Z84" i="3"/>
  <c r="X84" i="3"/>
  <c r="R84" i="3"/>
  <c r="AB83" i="3"/>
  <c r="Z83" i="3"/>
  <c r="V82" i="3"/>
  <c r="T82" i="3"/>
  <c r="P82" i="3"/>
  <c r="N82" i="3"/>
  <c r="H82" i="3"/>
  <c r="AB81" i="3"/>
  <c r="Z81" i="3"/>
  <c r="X81" i="3"/>
  <c r="AB80" i="3"/>
  <c r="Z80" i="3"/>
  <c r="R80" i="3"/>
  <c r="AB79" i="3"/>
  <c r="AD79" i="3" s="1"/>
  <c r="Z79" i="3"/>
  <c r="X79" i="3"/>
  <c r="AB78" i="3"/>
  <c r="AD78" i="3" s="1"/>
  <c r="Z78" i="3"/>
  <c r="X78" i="3"/>
  <c r="R78" i="3"/>
  <c r="AB77" i="3"/>
  <c r="AD77" i="3" s="1"/>
  <c r="Z77" i="3"/>
  <c r="R77" i="3"/>
  <c r="AB76" i="3"/>
  <c r="Z76" i="3"/>
  <c r="AB74" i="3"/>
  <c r="AD74" i="3" s="1"/>
  <c r="Z74" i="3"/>
  <c r="X74" i="3"/>
  <c r="T73" i="3"/>
  <c r="N73" i="3"/>
  <c r="J73" i="3"/>
  <c r="AB73" i="3" s="1"/>
  <c r="H73" i="3"/>
  <c r="AB72" i="3"/>
  <c r="Z72" i="3"/>
  <c r="L72" i="3"/>
  <c r="AB71" i="3"/>
  <c r="Z71" i="3"/>
  <c r="L71" i="3"/>
  <c r="AB70" i="3"/>
  <c r="Z70" i="3"/>
  <c r="L70" i="3"/>
  <c r="AB69" i="3"/>
  <c r="Z69" i="3"/>
  <c r="L69" i="3"/>
  <c r="AB66" i="3"/>
  <c r="Z66" i="3"/>
  <c r="L66" i="3"/>
  <c r="AB65" i="3"/>
  <c r="Z65" i="3"/>
  <c r="L65" i="3"/>
  <c r="T64" i="3"/>
  <c r="N64" i="3"/>
  <c r="J64" i="3"/>
  <c r="AB64" i="3" s="1"/>
  <c r="H64" i="3"/>
  <c r="AB63" i="3"/>
  <c r="Z63" i="3"/>
  <c r="L63" i="3"/>
  <c r="AB62" i="3"/>
  <c r="Z62" i="3"/>
  <c r="AB60" i="3"/>
  <c r="Z60" i="3"/>
  <c r="L60" i="3"/>
  <c r="T59" i="3"/>
  <c r="N59" i="3"/>
  <c r="J59" i="3"/>
  <c r="J67" i="3" s="1"/>
  <c r="AB67" i="3" s="1"/>
  <c r="H59" i="3"/>
  <c r="AB58" i="3"/>
  <c r="Z58" i="3"/>
  <c r="L58" i="3"/>
  <c r="AB57" i="3"/>
  <c r="Z57" i="3"/>
  <c r="L57" i="3"/>
  <c r="AB56" i="3"/>
  <c r="Z56" i="3"/>
  <c r="L56" i="3"/>
  <c r="AB54" i="3"/>
  <c r="Z54" i="3"/>
  <c r="L54" i="3"/>
  <c r="AB53" i="3"/>
  <c r="Z53" i="3"/>
  <c r="L53" i="3"/>
  <c r="T50" i="3"/>
  <c r="N50" i="3"/>
  <c r="J50" i="3"/>
  <c r="AB50" i="3" s="1"/>
  <c r="H50" i="3"/>
  <c r="AB49" i="3"/>
  <c r="Z49" i="3"/>
  <c r="AD49" i="3" s="1"/>
  <c r="L49" i="3"/>
  <c r="AB47" i="3"/>
  <c r="Z47" i="3"/>
  <c r="AD47" i="3" s="1"/>
  <c r="L47" i="3"/>
  <c r="AB46" i="3"/>
  <c r="Z46" i="3"/>
  <c r="AD46" i="3" s="1"/>
  <c r="L46" i="3"/>
  <c r="AB45" i="3"/>
  <c r="Z45" i="3"/>
  <c r="AD45" i="3" s="1"/>
  <c r="L45" i="3"/>
  <c r="T44" i="3"/>
  <c r="N44" i="3"/>
  <c r="J44" i="3"/>
  <c r="AB44" i="3" s="1"/>
  <c r="H44" i="3"/>
  <c r="AB43" i="3"/>
  <c r="Z43" i="3"/>
  <c r="AD43" i="3" s="1"/>
  <c r="L43" i="3"/>
  <c r="AB42" i="3"/>
  <c r="Z42" i="3"/>
  <c r="AD42" i="3" s="1"/>
  <c r="L42" i="3"/>
  <c r="AB41" i="3"/>
  <c r="Z41" i="3"/>
  <c r="AD41" i="3" s="1"/>
  <c r="L41" i="3"/>
  <c r="V39" i="3"/>
  <c r="V51" i="3" s="1"/>
  <c r="T39" i="3"/>
  <c r="N39" i="3"/>
  <c r="J39" i="3"/>
  <c r="H39" i="3"/>
  <c r="AB38" i="3"/>
  <c r="Z38" i="3"/>
  <c r="L38" i="3"/>
  <c r="AB37" i="3"/>
  <c r="AD37" i="3" s="1"/>
  <c r="Z37" i="3"/>
  <c r="X37" i="3"/>
  <c r="L37" i="3"/>
  <c r="AB36" i="3"/>
  <c r="Z36" i="3"/>
  <c r="AD36" i="3" s="1"/>
  <c r="L36" i="3"/>
  <c r="AB35" i="3"/>
  <c r="Z35" i="3"/>
  <c r="AD35" i="3" s="1"/>
  <c r="L35" i="3"/>
  <c r="AB33" i="3"/>
  <c r="Z33" i="3"/>
  <c r="AD33" i="3" s="1"/>
  <c r="L33" i="3"/>
  <c r="AB31" i="3"/>
  <c r="Z31" i="3"/>
  <c r="AD31" i="3" s="1"/>
  <c r="L31" i="3"/>
  <c r="P28" i="3"/>
  <c r="AB27" i="3"/>
  <c r="Z27" i="3"/>
  <c r="V26" i="3"/>
  <c r="T26" i="3"/>
  <c r="N26" i="3"/>
  <c r="J26" i="3"/>
  <c r="H26" i="3"/>
  <c r="AB25" i="3"/>
  <c r="AD25" i="3" s="1"/>
  <c r="Z25" i="3"/>
  <c r="X25" i="3"/>
  <c r="L25" i="3"/>
  <c r="AB24" i="3"/>
  <c r="Z24" i="3"/>
  <c r="L24" i="3"/>
  <c r="AB23" i="3"/>
  <c r="Z23" i="3"/>
  <c r="L23" i="3"/>
  <c r="AB21" i="3"/>
  <c r="Z21" i="3"/>
  <c r="L21" i="3"/>
  <c r="T20" i="3"/>
  <c r="N20" i="3"/>
  <c r="J20" i="3"/>
  <c r="H20" i="3"/>
  <c r="AB19" i="3"/>
  <c r="Z19" i="3"/>
  <c r="L19" i="3"/>
  <c r="AB18" i="3"/>
  <c r="Z18" i="3"/>
  <c r="AB17" i="3"/>
  <c r="Z17" i="3"/>
  <c r="V15" i="3"/>
  <c r="T15" i="3"/>
  <c r="N15" i="3"/>
  <c r="H15" i="3"/>
  <c r="AB14" i="3"/>
  <c r="AD14" i="3" s="1"/>
  <c r="Z14" i="3"/>
  <c r="X14" i="3"/>
  <c r="AB13" i="3"/>
  <c r="AD13" i="3" s="1"/>
  <c r="Z13" i="3"/>
  <c r="X13" i="3"/>
  <c r="V11" i="3"/>
  <c r="T11" i="3"/>
  <c r="N11" i="3"/>
  <c r="J11" i="3"/>
  <c r="H11" i="3"/>
  <c r="AB10" i="3"/>
  <c r="Z10" i="3"/>
  <c r="X10" i="3"/>
  <c r="AB9" i="3"/>
  <c r="Z9" i="3"/>
  <c r="X9" i="3"/>
  <c r="L9" i="3"/>
  <c r="AB8" i="3"/>
  <c r="Z8" i="3"/>
  <c r="L8" i="3"/>
  <c r="AB7" i="3"/>
  <c r="Z7" i="3"/>
  <c r="L7" i="3"/>
  <c r="AB6" i="3"/>
  <c r="Z6" i="3"/>
  <c r="X6" i="3"/>
  <c r="L6" i="3"/>
  <c r="AD45" i="5" l="1"/>
  <c r="AD44" i="5"/>
  <c r="BF59" i="9"/>
  <c r="X82" i="3"/>
  <c r="AD17" i="3"/>
  <c r="AD65" i="3"/>
  <c r="AD71" i="3"/>
  <c r="AD76" i="3"/>
  <c r="R23" i="5"/>
  <c r="Z59" i="3"/>
  <c r="J78" i="5"/>
  <c r="L78" i="5" s="1"/>
  <c r="L45" i="5"/>
  <c r="Y51" i="18"/>
  <c r="Z26" i="3"/>
  <c r="Z44" i="3"/>
  <c r="AD44" i="3" s="1"/>
  <c r="AD62" i="3"/>
  <c r="AD70" i="3"/>
  <c r="AD81" i="3"/>
  <c r="AD84" i="3"/>
  <c r="AB26" i="3"/>
  <c r="AD26" i="3" s="1"/>
  <c r="AD80" i="3"/>
  <c r="Z82" i="3"/>
  <c r="X15" i="3"/>
  <c r="L64" i="3"/>
  <c r="AD72" i="3"/>
  <c r="T51" i="18"/>
  <c r="W51" i="18" s="1"/>
  <c r="J38" i="17"/>
  <c r="Q25" i="18" s="1"/>
  <c r="Q34" i="18" s="1"/>
  <c r="Q58" i="18" s="1"/>
  <c r="I50" i="17"/>
  <c r="Z62" i="15"/>
  <c r="Z64" i="15" s="1"/>
  <c r="X78" i="5"/>
  <c r="T79" i="5"/>
  <c r="T81" i="5" s="1"/>
  <c r="Z15" i="3"/>
  <c r="Z20" i="3"/>
  <c r="AD24" i="3"/>
  <c r="N28" i="3"/>
  <c r="N29" i="3" s="1"/>
  <c r="Z39" i="3"/>
  <c r="AD54" i="3"/>
  <c r="L59" i="3"/>
  <c r="AB59" i="3"/>
  <c r="AD59" i="3" s="1"/>
  <c r="AD63" i="3"/>
  <c r="N67" i="3"/>
  <c r="AD66" i="3"/>
  <c r="AD69" i="3"/>
  <c r="L73" i="3"/>
  <c r="H60" i="9"/>
  <c r="H62" i="9" s="1"/>
  <c r="BD62" i="9" s="1"/>
  <c r="Z60" i="5"/>
  <c r="Z78" i="5"/>
  <c r="AD6" i="3"/>
  <c r="AD27" i="3"/>
  <c r="N51" i="3"/>
  <c r="T67" i="3"/>
  <c r="AD10" i="15"/>
  <c r="AF10" i="15" s="1"/>
  <c r="AF5" i="15"/>
  <c r="I6" i="17" s="1"/>
  <c r="AF39" i="15"/>
  <c r="T28" i="3"/>
  <c r="T29" i="3" s="1"/>
  <c r="T51" i="3"/>
  <c r="T85" i="3" s="1"/>
  <c r="H79" i="5"/>
  <c r="H81" i="5" s="1"/>
  <c r="N79" i="5"/>
  <c r="N81" i="5" s="1"/>
  <c r="AB20" i="3"/>
  <c r="L20" i="3"/>
  <c r="V28" i="3"/>
  <c r="AD10" i="3"/>
  <c r="AB15" i="3"/>
  <c r="AD15" i="3" s="1"/>
  <c r="AD23" i="3"/>
  <c r="AB39" i="3"/>
  <c r="J51" i="3"/>
  <c r="V85" i="3"/>
  <c r="Z50" i="3"/>
  <c r="AD50" i="3" s="1"/>
  <c r="AD53" i="3"/>
  <c r="AD58" i="3"/>
  <c r="R82" i="3"/>
  <c r="AB82" i="3"/>
  <c r="P85" i="3"/>
  <c r="J62" i="9"/>
  <c r="BF62" i="9" s="1"/>
  <c r="BF60" i="9"/>
  <c r="AB23" i="5"/>
  <c r="AD23" i="5" s="1"/>
  <c r="L23" i="5"/>
  <c r="J24" i="5"/>
  <c r="AB78" i="5"/>
  <c r="AD78" i="5" s="1"/>
  <c r="AD8" i="3"/>
  <c r="AD9" i="3"/>
  <c r="Z11" i="3"/>
  <c r="H28" i="3"/>
  <c r="X11" i="3"/>
  <c r="AD19" i="3"/>
  <c r="AD21" i="3"/>
  <c r="X26" i="3"/>
  <c r="L39" i="3"/>
  <c r="X39" i="3"/>
  <c r="H51" i="3"/>
  <c r="AD57" i="3"/>
  <c r="Z73" i="3"/>
  <c r="AD73" i="3" s="1"/>
  <c r="AD7" i="3"/>
  <c r="J28" i="3"/>
  <c r="L11" i="3"/>
  <c r="AB11" i="3"/>
  <c r="AD18" i="3"/>
  <c r="L26" i="3"/>
  <c r="AD38" i="3"/>
  <c r="AD56" i="3"/>
  <c r="AD60" i="3"/>
  <c r="Z64" i="3"/>
  <c r="AD64" i="3" s="1"/>
  <c r="AD83" i="3"/>
  <c r="V79" i="5"/>
  <c r="X24" i="5"/>
  <c r="AB60" i="5"/>
  <c r="L60" i="5"/>
  <c r="P81" i="5"/>
  <c r="R81" i="5" s="1"/>
  <c r="R79" i="5"/>
  <c r="P29" i="3"/>
  <c r="H67" i="3"/>
  <c r="L44" i="3"/>
  <c r="L50" i="3"/>
  <c r="R28" i="3" l="1"/>
  <c r="AD60" i="5"/>
  <c r="AD82" i="3"/>
  <c r="Z81" i="5"/>
  <c r="N85" i="3"/>
  <c r="N86" i="3" s="1"/>
  <c r="N88" i="3" s="1"/>
  <c r="AD20" i="3"/>
  <c r="AD39" i="3"/>
  <c r="M38" i="17"/>
  <c r="Y25" i="18"/>
  <c r="I82" i="17"/>
  <c r="J82" i="17" s="1"/>
  <c r="M82" i="17" s="1"/>
  <c r="J50" i="17"/>
  <c r="M50" i="17" s="1"/>
  <c r="I11" i="17"/>
  <c r="J6" i="17"/>
  <c r="Q6" i="18" s="1"/>
  <c r="Q11" i="18" s="1"/>
  <c r="Q16" i="18" s="1"/>
  <c r="Q59" i="18" s="1"/>
  <c r="Q61" i="18" s="1"/>
  <c r="Q64" i="18" s="1"/>
  <c r="AF61" i="15"/>
  <c r="AD11" i="3"/>
  <c r="T86" i="3"/>
  <c r="T88" i="3" s="1"/>
  <c r="AD18" i="15"/>
  <c r="BD60" i="9"/>
  <c r="X51" i="3"/>
  <c r="Z79" i="5"/>
  <c r="X85" i="3"/>
  <c r="X28" i="3"/>
  <c r="V29" i="3"/>
  <c r="J29" i="3"/>
  <c r="AB28" i="3"/>
  <c r="L28" i="3"/>
  <c r="Z51" i="3"/>
  <c r="H85" i="3"/>
  <c r="Z28" i="3"/>
  <c r="H29" i="3"/>
  <c r="AB24" i="5"/>
  <c r="AD24" i="5" s="1"/>
  <c r="L24" i="5"/>
  <c r="J79" i="5"/>
  <c r="R29" i="3"/>
  <c r="P86" i="3"/>
  <c r="X79" i="5"/>
  <c r="V81" i="5"/>
  <c r="X81" i="5" s="1"/>
  <c r="Z67" i="3"/>
  <c r="AD67" i="3" s="1"/>
  <c r="L67" i="3"/>
  <c r="L51" i="3"/>
  <c r="J85" i="3"/>
  <c r="AB51" i="3"/>
  <c r="AD51" i="3" s="1"/>
  <c r="R85" i="3" l="1"/>
  <c r="Z85" i="3"/>
  <c r="M6" i="17"/>
  <c r="Y6" i="18"/>
  <c r="J11" i="17"/>
  <c r="J28" i="17" s="1"/>
  <c r="J29" i="17" s="1"/>
  <c r="T25" i="18"/>
  <c r="W25" i="18" s="1"/>
  <c r="I28" i="17"/>
  <c r="AD19" i="15"/>
  <c r="AF18" i="15"/>
  <c r="Z29" i="3"/>
  <c r="H86" i="3"/>
  <c r="J81" i="5"/>
  <c r="AB79" i="5"/>
  <c r="AD79" i="5" s="1"/>
  <c r="L79" i="5"/>
  <c r="AD28" i="3"/>
  <c r="J86" i="3"/>
  <c r="AB29" i="3"/>
  <c r="L29" i="3"/>
  <c r="V86" i="3"/>
  <c r="X29" i="3"/>
  <c r="AB85" i="3"/>
  <c r="L85" i="3"/>
  <c r="P88" i="3"/>
  <c r="R88" i="3" s="1"/>
  <c r="R86" i="3"/>
  <c r="AD85" i="3" l="1"/>
  <c r="Y34" i="18"/>
  <c r="AD29" i="3"/>
  <c r="R11" i="18"/>
  <c r="Y11" i="18" s="1"/>
  <c r="T6" i="18"/>
  <c r="W6" i="18" s="1"/>
  <c r="M11" i="17"/>
  <c r="T34" i="18"/>
  <c r="W34" i="18" s="1"/>
  <c r="R58" i="18"/>
  <c r="AF19" i="15"/>
  <c r="AD62" i="15"/>
  <c r="I29" i="17"/>
  <c r="M28" i="17"/>
  <c r="J88" i="3"/>
  <c r="AB86" i="3"/>
  <c r="L86" i="3"/>
  <c r="H88" i="3"/>
  <c r="Z88" i="3" s="1"/>
  <c r="Z86" i="3"/>
  <c r="AB81" i="5"/>
  <c r="AD81" i="5" s="1"/>
  <c r="L81" i="5"/>
  <c r="X86" i="3"/>
  <c r="V88" i="3"/>
  <c r="X88" i="3" s="1"/>
  <c r="T58" i="18" l="1"/>
  <c r="W58" i="18" s="1"/>
  <c r="Y58" i="18"/>
  <c r="R16" i="18"/>
  <c r="Y16" i="18" s="1"/>
  <c r="T11" i="18"/>
  <c r="M29" i="17"/>
  <c r="I83" i="17"/>
  <c r="J83" i="17" s="1"/>
  <c r="M83" i="17" s="1"/>
  <c r="AD64" i="15"/>
  <c r="AF64" i="15" s="1"/>
  <c r="AF62" i="15"/>
  <c r="AD86" i="3"/>
  <c r="AB88" i="3"/>
  <c r="AD88" i="3" s="1"/>
  <c r="L88" i="3"/>
  <c r="T16" i="18" l="1"/>
  <c r="W16" i="18" s="1"/>
  <c r="W11" i="18"/>
  <c r="R59" i="18"/>
  <c r="T59" i="18" l="1"/>
  <c r="W59" i="18" s="1"/>
  <c r="Y59" i="18"/>
  <c r="R61" i="18"/>
  <c r="E57" i="21"/>
  <c r="R64" i="18" l="1"/>
  <c r="T64" i="18" s="1"/>
  <c r="W64" i="18" s="1"/>
  <c r="Y61" i="18"/>
  <c r="T61" i="18"/>
  <c r="W61" i="18" s="1"/>
  <c r="X62" i="18" l="1"/>
  <c r="Y62" i="18" s="1"/>
  <c r="X64" i="18" l="1"/>
  <c r="Y64" i="18" s="1"/>
  <c r="AB31" i="26" l="1"/>
  <c r="W60" i="26"/>
  <c r="Y31" i="26"/>
  <c r="X57" i="26" l="1"/>
  <c r="Y33" i="26"/>
  <c r="AB33" i="26"/>
  <c r="Y58" i="26"/>
  <c r="AB58" i="26"/>
  <c r="Y57" i="26" l="1"/>
  <c r="AB57" i="26"/>
  <c r="AB60" i="26"/>
  <c r="Y6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Todd Currie</author>
  </authors>
  <commentList>
    <comment ref="N43" authorId="0" shapeId="0" xr:uid="{00000000-0006-0000-0100-000001000000}">
      <text>
        <r>
          <rPr>
            <b/>
            <sz val="9"/>
            <color indexed="81"/>
            <rFont val="Tahoma"/>
            <family val="2"/>
          </rPr>
          <t>Todd Currie:</t>
        </r>
        <r>
          <rPr>
            <sz val="9"/>
            <color indexed="81"/>
            <rFont val="Tahoma"/>
            <family val="2"/>
          </rPr>
          <t xml:space="preserve">
new PRV
</t>
        </r>
      </text>
    </comment>
    <comment ref="P43" authorId="0" shapeId="0" xr:uid="{00000000-0006-0000-0100-000002000000}">
      <text>
        <r>
          <rPr>
            <b/>
            <sz val="9"/>
            <color indexed="81"/>
            <rFont val="Tahoma"/>
            <family val="2"/>
          </rPr>
          <t>Todd Currie:</t>
        </r>
        <r>
          <rPr>
            <sz val="9"/>
            <color indexed="81"/>
            <rFont val="Tahoma"/>
            <family val="2"/>
          </rPr>
          <t xml:space="preserve">
Water Tank cleaning
</t>
        </r>
      </text>
    </comment>
  </commentList>
</comments>
</file>

<file path=xl/sharedStrings.xml><?xml version="1.0" encoding="utf-8"?>
<sst xmlns="http://schemas.openxmlformats.org/spreadsheetml/2006/main" count="1313" uniqueCount="399">
  <si>
    <t>Operations</t>
  </si>
  <si>
    <t>System Replacements</t>
  </si>
  <si>
    <t>Capital Improvements</t>
  </si>
  <si>
    <t>TOTAL</t>
  </si>
  <si>
    <t>Jul '21 - Jun 22</t>
  </si>
  <si>
    <t>Budget</t>
  </si>
  <si>
    <t>% of Budget</t>
  </si>
  <si>
    <t>Ordinary Income/Expense</t>
  </si>
  <si>
    <t>Income</t>
  </si>
  <si>
    <t>Water Sales</t>
  </si>
  <si>
    <t>M/C Water Residential Regular</t>
  </si>
  <si>
    <t>M/C Water Commercial Regular</t>
  </si>
  <si>
    <t>Usage Charges</t>
  </si>
  <si>
    <t>M/P Commercial Regular</t>
  </si>
  <si>
    <t>M/P Residential Regular</t>
  </si>
  <si>
    <t>Total Water Sales</t>
  </si>
  <si>
    <t>Capital Charges</t>
  </si>
  <si>
    <t>M/C Capital Commercial Regular</t>
  </si>
  <si>
    <t>M/C Capital Residential Regular</t>
  </si>
  <si>
    <t>Total Capital Charges</t>
  </si>
  <si>
    <t>New Shares, Hookups, Other</t>
  </si>
  <si>
    <t>Hook-up Inspection Fees</t>
  </si>
  <si>
    <t>Hook-up Reimbursements</t>
  </si>
  <si>
    <t>New Shares, Hookups, Other - Other</t>
  </si>
  <si>
    <t>Total New Shares, Hookups, Other</t>
  </si>
  <si>
    <t>State Utility Excise Tax</t>
  </si>
  <si>
    <t>Miscellaneous income</t>
  </si>
  <si>
    <t>Direct Water Sale, not metered</t>
  </si>
  <si>
    <t>Sale of Chlorine</t>
  </si>
  <si>
    <t>Total Miscellaneous income</t>
  </si>
  <si>
    <t>Interest Income</t>
  </si>
  <si>
    <t>Total Income</t>
  </si>
  <si>
    <t>Gross Profit</t>
  </si>
  <si>
    <t>Expense</t>
  </si>
  <si>
    <t>Staffing and Contract Svcs</t>
  </si>
  <si>
    <t>Business Operations</t>
  </si>
  <si>
    <t>Legal Services</t>
  </si>
  <si>
    <t>Banking &amp; Accounting</t>
  </si>
  <si>
    <t>Accounting Services</t>
  </si>
  <si>
    <t>Bank Service Charges</t>
  </si>
  <si>
    <t>Interest Expense</t>
  </si>
  <si>
    <t>Total Banking &amp; Accounting</t>
  </si>
  <si>
    <t>Comms &amp; IT</t>
  </si>
  <si>
    <t>Hardware, Software &amp; Services</t>
  </si>
  <si>
    <t>Phone &amp; Internet</t>
  </si>
  <si>
    <t>Total Comms &amp; IT</t>
  </si>
  <si>
    <t>Insurance</t>
  </si>
  <si>
    <t>Office Supplies and Services</t>
  </si>
  <si>
    <t>Postage (incl. Meter Rental)</t>
  </si>
  <si>
    <t>Other Admin Costs</t>
  </si>
  <si>
    <t>Misc Expenses and Training</t>
  </si>
  <si>
    <t>Other Admin Costs - Other</t>
  </si>
  <si>
    <t>Total Other Admin Costs</t>
  </si>
  <si>
    <t>Total Business Operations</t>
  </si>
  <si>
    <t>System Operations</t>
  </si>
  <si>
    <t>General Engineering</t>
  </si>
  <si>
    <t>Water Quality Testing</t>
  </si>
  <si>
    <t>Electricity &amp; Propane</t>
  </si>
  <si>
    <t>Electricity</t>
  </si>
  <si>
    <t>Propane</t>
  </si>
  <si>
    <t>Wireless Service</t>
  </si>
  <si>
    <t>Total Electricity &amp; Propane</t>
  </si>
  <si>
    <t>Water Treatment Chemicals</t>
  </si>
  <si>
    <t>Shop Supplies &amp; Parts</t>
  </si>
  <si>
    <t>Small Tools and Minor Equipment</t>
  </si>
  <si>
    <t>Shop Supplies &amp; Parts - Other</t>
  </si>
  <si>
    <t>Total Shop Supplies &amp; Parts</t>
  </si>
  <si>
    <t>Unscheduled System Costs</t>
  </si>
  <si>
    <t>Building &amp; Grounds Maintenance</t>
  </si>
  <si>
    <t>Total System Operations</t>
  </si>
  <si>
    <t>TAXES, LICENSES and FEES</t>
  </si>
  <si>
    <t>Property Taxes and Filing Fees</t>
  </si>
  <si>
    <t>State Public Utility Tax</t>
  </si>
  <si>
    <t>County Right-of-Way Use Tax</t>
  </si>
  <si>
    <t>Licenses &amp; Fees</t>
  </si>
  <si>
    <t>Total TAXES, LICENSES and FEES</t>
  </si>
  <si>
    <t>Loan Principal</t>
  </si>
  <si>
    <t>PROJECTS</t>
  </si>
  <si>
    <t>Meter Replacement Program</t>
  </si>
  <si>
    <t>Sandy Shores Filtration</t>
  </si>
  <si>
    <t>Projects @ Springs</t>
  </si>
  <si>
    <t>Projects @ DWA Building</t>
  </si>
  <si>
    <t>Total PROJECTS</t>
  </si>
  <si>
    <t>Service Connections</t>
  </si>
  <si>
    <t>Unscheduled Capital Costs</t>
  </si>
  <si>
    <t>Total Expense</t>
  </si>
  <si>
    <t>Net Ordinary Income</t>
  </si>
  <si>
    <t>Other Income/Expense</t>
  </si>
  <si>
    <t>Net Income</t>
  </si>
  <si>
    <t>Jul '20 - Jun 21</t>
  </si>
  <si>
    <t>Miscellaneous income - Other</t>
  </si>
  <si>
    <t>Banking &amp; Accounting - Other</t>
  </si>
  <si>
    <t>Comms &amp; IT - Other</t>
  </si>
  <si>
    <t>Electricity &amp; Propane - Other</t>
  </si>
  <si>
    <t>Booster Station Generator</t>
  </si>
  <si>
    <t>Hake Manzanita Connection</t>
  </si>
  <si>
    <t>Convert Springs Water Tank</t>
  </si>
  <si>
    <t>Jul '19 - Jun 20</t>
  </si>
  <si>
    <t>Water Income</t>
  </si>
  <si>
    <t>Emergency Service</t>
  </si>
  <si>
    <t>Office IT</t>
  </si>
  <si>
    <t>Jul 21</t>
  </si>
  <si>
    <t>Jul 20</t>
  </si>
  <si>
    <t>Aug 21</t>
  </si>
  <si>
    <t>Aug 20</t>
  </si>
  <si>
    <t>Sep 21</t>
  </si>
  <si>
    <t>Sep 20</t>
  </si>
  <si>
    <t>Oct 21</t>
  </si>
  <si>
    <t>Oct 20</t>
  </si>
  <si>
    <t>Nov 21</t>
  </si>
  <si>
    <t>Nov 20</t>
  </si>
  <si>
    <t>Dec 21</t>
  </si>
  <si>
    <t>Dec 20</t>
  </si>
  <si>
    <t>Jan 22</t>
  </si>
  <si>
    <t>Jan 21</t>
  </si>
  <si>
    <t>Feb 22</t>
  </si>
  <si>
    <t>Feb 21</t>
  </si>
  <si>
    <t>Mar 22</t>
  </si>
  <si>
    <t>Mar 21</t>
  </si>
  <si>
    <t>Apr 22</t>
  </si>
  <si>
    <t>Apr 21</t>
  </si>
  <si>
    <t>May 22</t>
  </si>
  <si>
    <t>May 21</t>
  </si>
  <si>
    <t>Jun 22</t>
  </si>
  <si>
    <t>Jun 21</t>
  </si>
  <si>
    <t>Beginning Fund Balance</t>
  </si>
  <si>
    <t>O</t>
  </si>
  <si>
    <t>Jul 19</t>
  </si>
  <si>
    <t>Aug 19</t>
  </si>
  <si>
    <t>Sep 19</t>
  </si>
  <si>
    <t>Oct 19</t>
  </si>
  <si>
    <t>Nov 19</t>
  </si>
  <si>
    <t>Dec 19</t>
  </si>
  <si>
    <t>Jan 20</t>
  </si>
  <si>
    <t>Feb 20</t>
  </si>
  <si>
    <t>Mar 20</t>
  </si>
  <si>
    <t>Apr 20</t>
  </si>
  <si>
    <t>May 20</t>
  </si>
  <si>
    <t>Jun 20</t>
  </si>
  <si>
    <t>2nd half 2022</t>
  </si>
  <si>
    <t>Misc.</t>
  </si>
  <si>
    <t>YTD Dec 21</t>
  </si>
  <si>
    <t>2rd half 2022</t>
  </si>
  <si>
    <t>Estimated</t>
  </si>
  <si>
    <t>FY 2022</t>
  </si>
  <si>
    <t>OPERATIONS</t>
  </si>
  <si>
    <t>2020</t>
  </si>
  <si>
    <t>Actual</t>
  </si>
  <si>
    <t>2021</t>
  </si>
  <si>
    <t>Variance</t>
  </si>
  <si>
    <t>COMMENTS</t>
  </si>
  <si>
    <t>2023</t>
  </si>
  <si>
    <t>DAVE2</t>
  </si>
  <si>
    <t>inflation… (any way to reduce CPA time?)</t>
  </si>
  <si>
    <t>2022</t>
  </si>
  <si>
    <t>Forecast</t>
  </si>
  <si>
    <t>(Shareholder approved SWSP)</t>
  </si>
  <si>
    <t>Other Admin Costs / Training</t>
  </si>
  <si>
    <t>Base Charge - Residential</t>
  </si>
  <si>
    <t>Base Charge - Commercial</t>
  </si>
  <si>
    <t>Includes 1/2 of Reserved Shares Base Charge</t>
  </si>
  <si>
    <t>Water Usage Charges</t>
  </si>
  <si>
    <t>Late Fees - Commercial</t>
  </si>
  <si>
    <t>Late Fees - Residential</t>
  </si>
  <si>
    <t>Direct Water Sale, non shareholder</t>
  </si>
  <si>
    <t>Note: Skylar gets $1/hr raise per certification</t>
  </si>
  <si>
    <t xml:space="preserve"> rolled over to 2022</t>
  </si>
  <si>
    <t>&lt;&lt; This shareholder approved $15k, unspent in 2021,</t>
  </si>
  <si>
    <t>Transfer to System Replacement Capital Fund</t>
  </si>
  <si>
    <t>Get back to full $50k.  Split some to Cap Impr't?</t>
  </si>
  <si>
    <t>Beginning Operating Fund Balance</t>
  </si>
  <si>
    <t>Ending Operating Fund Balance</t>
  </si>
  <si>
    <t>PPP Covid Grant</t>
  </si>
  <si>
    <t>Forecast predicts carryover balance of $17k</t>
  </si>
  <si>
    <t>ACTUAL</t>
  </si>
  <si>
    <t>EST</t>
  </si>
  <si>
    <t>Meter Replacement - Materials</t>
  </si>
  <si>
    <t>Total Meter Replacement Program</t>
  </si>
  <si>
    <t>SS Filtration - Services/Other</t>
  </si>
  <si>
    <t>Sandy Shores Filt'n - Materials</t>
  </si>
  <si>
    <t>Total Sandy Shores Filtration</t>
  </si>
  <si>
    <t>Dockton Springs - Materials</t>
  </si>
  <si>
    <t>Total Projects @ Springs</t>
  </si>
  <si>
    <t>Other Income</t>
  </si>
  <si>
    <t>Interfund Transfer Out/In (-/+)</t>
  </si>
  <si>
    <t>Total Other Income</t>
  </si>
  <si>
    <t>Net Other Income</t>
  </si>
  <si>
    <t>Jun  22</t>
  </si>
  <si>
    <t>Hake Springs?</t>
  </si>
  <si>
    <t>DWA Building?</t>
  </si>
  <si>
    <t>Replace</t>
  </si>
  <si>
    <t>Improve</t>
  </si>
  <si>
    <t>2023 PROPOSED Budget - Dockton Water Association</t>
  </si>
  <si>
    <t>Dockton Water Association</t>
  </si>
  <si>
    <t>For Shareholder Review</t>
  </si>
  <si>
    <t>OPERATING FUND</t>
  </si>
  <si>
    <t>BEGINNING FUND BALANCE</t>
  </si>
  <si>
    <t>ENDING FUND BALANCE</t>
  </si>
  <si>
    <t>SYSTEM REPLACEMENT FUND</t>
  </si>
  <si>
    <t xml:space="preserve">  Net Change in Fund</t>
  </si>
  <si>
    <t>CONTINGENCY RESERVES</t>
  </si>
  <si>
    <t>TOTAL FUNDS</t>
  </si>
  <si>
    <t xml:space="preserve"> Includes fees for certification testing</t>
  </si>
  <si>
    <t>Operations Utilities</t>
  </si>
  <si>
    <t>Total Utilities</t>
  </si>
  <si>
    <t xml:space="preserve"> Reflects $.005 increase in Usage fee/cf</t>
  </si>
  <si>
    <t>Proposed Budget</t>
  </si>
  <si>
    <t>Ending Fund Balance</t>
  </si>
  <si>
    <t>Net Cash Flow in/out of Capital Accounts</t>
  </si>
  <si>
    <t>Total Costs</t>
  </si>
  <si>
    <t>Svcs &amp; Oth</t>
  </si>
  <si>
    <t>Permits/Fees</t>
  </si>
  <si>
    <t>Labor</t>
  </si>
  <si>
    <t>Materials</t>
  </si>
  <si>
    <t>tal 268th old well house demo</t>
  </si>
  <si>
    <t>Total BLANK - TBD</t>
  </si>
  <si>
    <t>demo old well house 268th</t>
  </si>
  <si>
    <t>BLANK -- TBD</t>
  </si>
  <si>
    <t>Total Sandy Shores PRV Replacement</t>
  </si>
  <si>
    <t>Sandy Shores PRV Replacement</t>
  </si>
  <si>
    <t>Total 94th &amp; Summerhurst Connection</t>
  </si>
  <si>
    <t>Permit/Fees</t>
  </si>
  <si>
    <t>Svcs &amp; Other</t>
  </si>
  <si>
    <t>94th &amp; Summerhurst Connection</t>
  </si>
  <si>
    <t>Total Office IT</t>
  </si>
  <si>
    <t>Office IT - Materials</t>
  </si>
  <si>
    <t>Office IT - Services/Other</t>
  </si>
  <si>
    <t>Total Projects @ DWA Building</t>
  </si>
  <si>
    <t>DWA Building - Labor</t>
  </si>
  <si>
    <t>DWA Building - Materials</t>
  </si>
  <si>
    <t>DWA Building - Permits/Fees</t>
  </si>
  <si>
    <t>DWA Building - Services/Other</t>
  </si>
  <si>
    <t>Dockton Springs  - Labor</t>
  </si>
  <si>
    <t>Dockton Springs - Permits/Fees</t>
  </si>
  <si>
    <t>Dockton Springs  - Services/Oth</t>
  </si>
  <si>
    <t>Sandy Shores Filtration - Labor</t>
  </si>
  <si>
    <t>SS Filtration - Permits/Fees</t>
  </si>
  <si>
    <t>Total Emergency Service</t>
  </si>
  <si>
    <t>Emergency Service - Labor</t>
  </si>
  <si>
    <t>Emergency Service - Materials</t>
  </si>
  <si>
    <t>Emergency Serice - Other</t>
  </si>
  <si>
    <t>Total Booster Station Generator</t>
  </si>
  <si>
    <t>Boost Stn Generator - Materials</t>
  </si>
  <si>
    <t>Boost Stn Generator - Labor</t>
  </si>
  <si>
    <t>Boost Stn Generator - Other</t>
  </si>
  <si>
    <t>Meter Replacement - Other</t>
  </si>
  <si>
    <t>Loan Principal Payment</t>
  </si>
  <si>
    <t>COSTS</t>
  </si>
  <si>
    <t>Total Inflow</t>
  </si>
  <si>
    <t>Transfer from Operations</t>
  </si>
  <si>
    <t>New Loan (Kitsap Bank)</t>
  </si>
  <si>
    <t>CASH INFLOW</t>
  </si>
  <si>
    <t>(89,574)</t>
  </si>
  <si>
    <t>267,755</t>
  </si>
  <si>
    <t>235,323</t>
  </si>
  <si>
    <t>210,910</t>
  </si>
  <si>
    <t>Beginningn Fund Balance</t>
  </si>
  <si>
    <t>BUDGET</t>
  </si>
  <si>
    <t>Capital Improvement</t>
  </si>
  <si>
    <t>System Replacement</t>
  </si>
  <si>
    <t>2022 FCST</t>
  </si>
  <si>
    <t xml:space="preserve">          Hake Springs Well House demo</t>
  </si>
  <si>
    <t xml:space="preserve">          Improvements @ Dockton Springs</t>
  </si>
  <si>
    <t>% Change</t>
  </si>
  <si>
    <t xml:space="preserve">FUND ACTIVITY </t>
  </si>
  <si>
    <t>Eyeball Fcst</t>
  </si>
  <si>
    <t>MidJune</t>
  </si>
  <si>
    <t xml:space="preserve">    Repay't of SBA EID Loan</t>
  </si>
  <si>
    <t>2023 FCST</t>
  </si>
  <si>
    <t>Silos</t>
  </si>
  <si>
    <t>Silos - Services/Other</t>
  </si>
  <si>
    <t>Silos - Permits/Fees</t>
  </si>
  <si>
    <t>Silos - Materials</t>
  </si>
  <si>
    <t>Silos - Labor</t>
  </si>
  <si>
    <t>Total SIlos</t>
  </si>
  <si>
    <t xml:space="preserve">  Transfer to Sys Replace</t>
  </si>
  <si>
    <t>Total Taxes and Fees</t>
  </si>
  <si>
    <t>Vehicle fuel &amp; Ops Mileage</t>
  </si>
  <si>
    <t>Shop Supplies (Inventory)</t>
  </si>
  <si>
    <t>Unscheduled Repair/Maint</t>
  </si>
  <si>
    <t>Water System Maintenance</t>
  </si>
  <si>
    <t>Total Outside Services</t>
  </si>
  <si>
    <t xml:space="preserve">  Contracted Services</t>
  </si>
  <si>
    <t xml:space="preserve">  Admin Payroll Taxes</t>
  </si>
  <si>
    <t xml:space="preserve">  Admin Payroll</t>
  </si>
  <si>
    <t xml:space="preserve">  Staff Development</t>
  </si>
  <si>
    <t>Total Monthly Billings</t>
  </si>
  <si>
    <t>Base Charges</t>
  </si>
  <si>
    <t>Apr - Jun 23</t>
  </si>
  <si>
    <t>Apr - Jun 22</t>
  </si>
  <si>
    <t>Apr - Jun 21</t>
  </si>
  <si>
    <t>Jan - Mar 23</t>
  </si>
  <si>
    <t>Jan - Mar 22</t>
  </si>
  <si>
    <t>Jan - Mar 21</t>
  </si>
  <si>
    <t>Oct - Dec 22</t>
  </si>
  <si>
    <t>Jul - Sep 22</t>
  </si>
  <si>
    <t>Oct - Dec 21</t>
  </si>
  <si>
    <t>Jul - Sep 21</t>
  </si>
  <si>
    <t>Oct - Dec 20</t>
  </si>
  <si>
    <t>Jul - Sep 20</t>
  </si>
  <si>
    <t>FY 23/24</t>
  </si>
  <si>
    <t>FY 22/23</t>
  </si>
  <si>
    <t>Reference</t>
  </si>
  <si>
    <t>FY 21/22</t>
  </si>
  <si>
    <t>FY 20/21</t>
  </si>
  <si>
    <t>Taxes and Fees - Other</t>
  </si>
  <si>
    <t>Taxes and Fees</t>
  </si>
  <si>
    <t>Total Maintenance Expenses</t>
  </si>
  <si>
    <t>System Maintenance</t>
  </si>
  <si>
    <t>Maintenance Expenses</t>
  </si>
  <si>
    <t>Total Utlities</t>
  </si>
  <si>
    <t>Utlities - Other</t>
  </si>
  <si>
    <t>Utlities</t>
  </si>
  <si>
    <t>Total Treatment &amp; Testing</t>
  </si>
  <si>
    <t>Treatment &amp; Testing</t>
  </si>
  <si>
    <t>Outside Services - Other</t>
  </si>
  <si>
    <t>Outside Services</t>
  </si>
  <si>
    <t>Total Office Costs</t>
  </si>
  <si>
    <t>Office Costs</t>
  </si>
  <si>
    <t>Monthly Billings</t>
  </si>
  <si>
    <t>Jul 1, '20 - Jan 13, 23</t>
  </si>
  <si>
    <t>Jan 1 - 13, 23</t>
  </si>
  <si>
    <t>2024</t>
  </si>
  <si>
    <t>Tools, Supplies &amp; Fuel</t>
  </si>
  <si>
    <t xml:space="preserve"> Staffing</t>
  </si>
  <si>
    <t xml:space="preserve">  Interest Expense </t>
  </si>
  <si>
    <t xml:space="preserve">  Legal Services</t>
  </si>
  <si>
    <t xml:space="preserve">  Accounting Services</t>
  </si>
  <si>
    <t xml:space="preserve">  Bank Service Charges</t>
  </si>
  <si>
    <t xml:space="preserve">  Water Treatment Chemicals</t>
  </si>
  <si>
    <t xml:space="preserve">  Water Quality Testing</t>
  </si>
  <si>
    <t xml:space="preserve">Budget </t>
  </si>
  <si>
    <t>Increase</t>
  </si>
  <si>
    <t>Billing Adjustments/Credits</t>
  </si>
  <si>
    <t>Increase Base from $34 to $36</t>
  </si>
  <si>
    <t>Increase Usage from $.025 to $.03</t>
  </si>
  <si>
    <t>Financial Aid</t>
  </si>
  <si>
    <t>Inflation adjusted salaries</t>
  </si>
  <si>
    <t>Increase subscription prices/upgrades</t>
  </si>
  <si>
    <t>Increase postage rates, rental</t>
  </si>
  <si>
    <t xml:space="preserve">  Hardware, Software &amp; Services</t>
  </si>
  <si>
    <t xml:space="preserve">  Phone &amp; Internet</t>
  </si>
  <si>
    <t>No further cost on SWSMP.  Costs for state test.</t>
  </si>
  <si>
    <t>Continued Inflation/Supply Chain/Filtration Plant impact</t>
  </si>
  <si>
    <t>Propane/Diesel unusually low usage in FY 22/23</t>
  </si>
  <si>
    <t>New budget line for envisioned maint, like tank cleaning</t>
  </si>
  <si>
    <t>$15k has been standard budget for years</t>
  </si>
  <si>
    <t>The big unknown</t>
  </si>
  <si>
    <t>Depending on Franchise Fee, could increase this transfer...</t>
  </si>
  <si>
    <t>Dockton Water Associaton</t>
  </si>
  <si>
    <t>Truck fuel plus  "mileage" remibursement for cars</t>
  </si>
  <si>
    <t>Break even (a surplus in FY 22/23 gets us out of negative balance.</t>
  </si>
  <si>
    <t>PROPOSED BUDGET (OPERATONS)  Fiscal Year 23/24</t>
  </si>
  <si>
    <t>Proposed Capital Budget - 2023/2024</t>
  </si>
  <si>
    <t>Loan Draw - PRV Pre-Const (SR). and Springs Wells CI)</t>
  </si>
  <si>
    <t>2022-23 Budget</t>
  </si>
  <si>
    <t xml:space="preserve">          Loan Servicing: Interest and Principal</t>
  </si>
  <si>
    <t>CAPITAL IMPROVEMENT FUND</t>
  </si>
  <si>
    <t xml:space="preserve">   State Utility Excise Taxes</t>
  </si>
  <si>
    <r>
      <t>2022-23 Forecast Actual</t>
    </r>
    <r>
      <rPr>
        <b/>
        <vertAlign val="superscript"/>
        <sz val="10"/>
        <color theme="1"/>
        <rFont val="Arial"/>
        <family val="2"/>
      </rPr>
      <t>1</t>
    </r>
  </si>
  <si>
    <t>2023-24 Proposed Budget</t>
  </si>
  <si>
    <t xml:space="preserve">          Evaluation of Water Towers</t>
  </si>
  <si>
    <t xml:space="preserve">   USE OF FUNDS::</t>
  </si>
  <si>
    <t xml:space="preserve">  USE OF FUNDS:: </t>
  </si>
  <si>
    <t xml:space="preserve">   SOURCES: Transfer from Operating Fund</t>
  </si>
  <si>
    <t xml:space="preserve">          Pre-Construction Loan (Sandy Shores PRV)</t>
  </si>
  <si>
    <t xml:space="preserve">         Staffing and Contract Services</t>
  </si>
  <si>
    <t xml:space="preserve">         Business Operations</t>
  </si>
  <si>
    <t xml:space="preserve">         System Operations</t>
  </si>
  <si>
    <t xml:space="preserve">         Taxes &amp; Licenses</t>
  </si>
  <si>
    <t xml:space="preserve">         King County Franchise Fee (TBD)</t>
  </si>
  <si>
    <t xml:space="preserve">   SOURCES: Billings (including Capital Charge)</t>
  </si>
  <si>
    <t xml:space="preserve">   SOURCE: Billings (Base, Usage and Taxes)</t>
  </si>
  <si>
    <t xml:space="preserve">          Construction Loan (New Wells at Springs)</t>
  </si>
  <si>
    <t xml:space="preserve">          New Deeper Wells at Springs - Phase 1</t>
  </si>
  <si>
    <r>
      <t xml:space="preserve">PROPOSED Budget - 2023/2024 Fiscal Year </t>
    </r>
    <r>
      <rPr>
        <b/>
        <sz val="14"/>
        <rFont val="Arial"/>
        <family val="2"/>
      </rPr>
      <t>(July through June)</t>
    </r>
  </si>
  <si>
    <t xml:space="preserve">         Transfer to System Replacement Fund</t>
  </si>
  <si>
    <t xml:space="preserve">      Total Operating Uses</t>
  </si>
  <si>
    <t xml:space="preserve">   Net Change in Fund</t>
  </si>
  <si>
    <t xml:space="preserve">          New Shares and Installations (net of costs)</t>
  </si>
  <si>
    <t xml:space="preserve">          Sandy Shores PRV Relocation</t>
  </si>
  <si>
    <t>Office Supplies &amp; Services</t>
  </si>
  <si>
    <t>Propane &amp; Deisel</t>
  </si>
  <si>
    <t>Utilities</t>
  </si>
  <si>
    <t xml:space="preserve">      Total Replacement Uses</t>
  </si>
  <si>
    <r>
      <rPr>
        <b/>
        <sz val="10"/>
        <rFont val="Arial"/>
        <family val="2"/>
      </rPr>
      <t xml:space="preserve">      </t>
    </r>
    <r>
      <rPr>
        <sz val="10"/>
        <rFont val="Arial"/>
        <family val="2"/>
      </rPr>
      <t>Total Improvement Uses</t>
    </r>
  </si>
  <si>
    <t xml:space="preserve">          94th to Summerhurst Connection</t>
  </si>
  <si>
    <t>Actl thru</t>
  </si>
  <si>
    <t xml:space="preserve">   Usage</t>
  </si>
  <si>
    <t xml:space="preserve">   Base Charges</t>
  </si>
  <si>
    <t>May</t>
  </si>
  <si>
    <r>
      <rPr>
        <i/>
        <vertAlign val="superscript"/>
        <sz val="10"/>
        <color rgb="FF000000"/>
        <rFont val="Arial"/>
        <family val="2"/>
      </rPr>
      <t>1</t>
    </r>
    <r>
      <rPr>
        <i/>
        <sz val="10"/>
        <color indexed="8"/>
        <rFont val="Arial"/>
        <family val="2"/>
      </rPr>
      <t xml:space="preserve"> Includes actual results through May 2023 and June Revenue. June expenses are estimated</t>
    </r>
  </si>
  <si>
    <t>SOURCES</t>
  </si>
  <si>
    <t>USES</t>
  </si>
  <si>
    <t>EIDL - This expense to be reduced/moved to Contingency Fund</t>
  </si>
  <si>
    <t xml:space="preserve">          Transfer to Contingency Fund</t>
  </si>
  <si>
    <t>Transfer to Contingency</t>
  </si>
  <si>
    <r>
      <t xml:space="preserve">    </t>
    </r>
    <r>
      <rPr>
        <sz val="10"/>
        <rFont val="Arial"/>
        <family val="2"/>
      </rPr>
      <t>Transfer from Capital Improvement (new memberships)</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</si>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</sst>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0;\-#,##0.00"/>
    <numFmt numFmtId="165" formatCode="#,##0.0#%;\-#,##0.0#%"/>
    <numFmt numFmtId="166" formatCode="_(* #,##0_);_(* \(#,##0\);_(* &quot;-&quot;??_);_(@_)"/>
    <numFmt numFmtId="167" formatCode="#,##0;\-#,##0"/>
    <numFmt numFmtId="168" formatCode="_(&quot;$&quot;* #,##0_);_(&quot;$&quot;* \(#,##0\);_(&quot;$&quot;* &quot;-&quot;??_);_(@_)"/>
    <numFmt numFmtId="169" formatCode="0.0%"/>
  </numFmts>
  <fonts count="46"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8"/>
      <color rgb="FF000000"/>
      <name val="Arial"/>
      <family val="2"/>
    </font>
    <font>
      <sz val="8"/>
      <color rgb="FF000000"/>
      <name val="Arial"/>
      <family val="2"/>
    </font>
    <font>
      <sz val="10"/>
      <name val="Arial"/>
      <family val="2"/>
    </font>
    <font>
      <sz val="11"/>
      <color theme="1"/>
      <name val="Calibri"/>
      <family val="2"/>
      <scheme val="minor"/>
    </font>
    <font>
      <b/>
      <sz val="9"/>
      <color rgb="FF000000"/>
      <name val="Arial"/>
      <family val="2"/>
    </font>
    <font>
      <sz val="9"/>
      <color theme="1"/>
      <name val="Arial"/>
      <family val="2"/>
    </font>
    <font>
      <b/>
      <sz val="9"/>
      <color theme="1"/>
      <name val="Arial"/>
      <family val="2"/>
    </font>
    <font>
      <sz val="9"/>
      <color rgb="FF000000"/>
      <name val="Arial"/>
      <family val="2"/>
    </font>
    <font>
      <sz val="9"/>
      <name val="Arial"/>
      <family val="2"/>
    </font>
    <font>
      <b/>
      <i/>
      <sz val="9"/>
      <color rgb="FF000000"/>
      <name val="Arial"/>
      <family val="2"/>
    </font>
    <font>
      <i/>
      <sz val="9"/>
      <color rgb="FF000000"/>
      <name val="Arial"/>
      <family val="2"/>
    </font>
    <font>
      <i/>
      <sz val="9"/>
      <color theme="1"/>
      <name val="Arial"/>
      <family val="2"/>
    </font>
    <font>
      <sz val="10"/>
      <name val="Arial"/>
      <family val="2"/>
    </font>
    <font>
      <b/>
      <sz val="10"/>
      <color theme="1"/>
      <name val="Calibri"/>
      <family val="2"/>
      <scheme val="minor"/>
    </font>
    <font>
      <b/>
      <sz val="10"/>
      <color theme="1"/>
      <name val="Arial"/>
      <family val="2"/>
    </font>
    <font>
      <b/>
      <sz val="18"/>
      <name val="Arial"/>
      <family val="2"/>
    </font>
    <font>
      <b/>
      <sz val="16"/>
      <name val="Arial"/>
      <family val="2"/>
    </font>
    <font>
      <b/>
      <sz val="14"/>
      <name val="Arial"/>
      <family val="2"/>
    </font>
    <font>
      <b/>
      <sz val="11"/>
      <color theme="1"/>
      <name val="Arial"/>
      <family val="2"/>
    </font>
    <font>
      <vertAlign val="superscript"/>
      <sz val="10"/>
      <color theme="1"/>
      <name val="Calibri"/>
      <family val="2"/>
      <scheme val="minor"/>
    </font>
    <font>
      <b/>
      <sz val="11"/>
      <color theme="1"/>
      <name val="Calibri"/>
      <family val="2"/>
      <scheme val="minor"/>
    </font>
    <font>
      <b/>
      <sz val="14"/>
      <color theme="0"/>
      <name val="Arial"/>
      <family val="2"/>
    </font>
    <font>
      <b/>
      <sz val="10"/>
      <name val="Arial"/>
      <family val="2"/>
    </font>
    <font>
      <vertAlign val="superscript"/>
      <sz val="11"/>
      <color theme="1"/>
      <name val="Calibri"/>
      <family val="2"/>
      <scheme val="minor"/>
    </font>
    <font>
      <sz val="10"/>
      <color theme="1"/>
      <name val="Arial"/>
      <family val="2"/>
    </font>
    <font>
      <i/>
      <sz val="10"/>
      <color indexed="8"/>
      <name val="Arial"/>
      <family val="2"/>
    </font>
    <font>
      <sz val="10"/>
      <color rgb="FF000000"/>
      <name val="Arial"/>
      <family val="2"/>
    </font>
    <font>
      <b/>
      <sz val="10"/>
      <color rgb="FF000000"/>
      <name val="Arial"/>
      <family val="2"/>
    </font>
    <font>
      <b/>
      <sz val="14"/>
      <color theme="1"/>
      <name val="Arial"/>
      <family val="2"/>
    </font>
    <font>
      <sz val="10.5"/>
      <color rgb="FF000000"/>
      <name val="Arial"/>
      <family val="2"/>
    </font>
    <font>
      <i/>
      <vertAlign val="superscript"/>
      <sz val="10"/>
      <color rgb="FF000000"/>
      <name val="Arial"/>
      <family val="2"/>
    </font>
    <font>
      <sz val="10"/>
      <color rgb="FFFF0000"/>
      <name val="Arial"/>
      <family val="2"/>
    </font>
    <font>
      <b/>
      <sz val="9"/>
      <color indexed="81"/>
      <name val="Tahoma"/>
      <family val="2"/>
    </font>
    <font>
      <sz val="9"/>
      <color indexed="81"/>
      <name val="Tahoma"/>
      <family val="2"/>
    </font>
    <font>
      <i/>
      <sz val="11"/>
      <color theme="1"/>
      <name val="Calibri"/>
      <family val="2"/>
      <scheme val="minor"/>
    </font>
    <font>
      <b/>
      <i/>
      <sz val="11"/>
      <color theme="1"/>
      <name val="Calibri"/>
      <family val="2"/>
      <scheme val="minor"/>
    </font>
    <font>
      <sz val="11"/>
      <name val="Calibri"/>
      <family val="2"/>
      <scheme val="minor"/>
    </font>
    <font>
      <b/>
      <sz val="16"/>
      <color theme="1"/>
      <name val="Calibri"/>
      <family val="2"/>
      <scheme val="minor"/>
    </font>
    <font>
      <b/>
      <vertAlign val="superscrip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65">
    <border>
      <left/>
      <right/>
      <top/>
      <bottom/>
      <diagonal/>
    </border>
    <border>
      <left/>
      <right/>
      <top/>
      <bottom style="thick">
        <color indexed="64"/>
      </bottom>
      <diagonal/>
    </border>
    <border>
      <left/>
      <right/>
      <top style="thick">
        <color indexed="64"/>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style="medium">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thick">
        <color indexed="64"/>
      </top>
      <bottom style="thick">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ck">
        <color indexed="64"/>
      </top>
      <bottom style="thick">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style="medium">
        <color indexed="64"/>
      </top>
      <bottom style="thick">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thick">
        <color indexed="64"/>
      </top>
      <bottom style="thick">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ck">
        <color indexed="64"/>
      </bottom>
      <diagonal/>
    </border>
    <border>
      <left style="medium">
        <color indexed="64"/>
      </left>
      <right style="medium">
        <color indexed="64"/>
      </right>
      <top style="thin">
        <color indexed="64"/>
      </top>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12">
    <xf numFmtId="0" fontId="0" fillId="0" borderId="0"/>
    <xf numFmtId="0" fontId="9" fillId="0" borderId="0"/>
    <xf numFmtId="43" fontId="10" fillId="0" borderId="0" applyFont="0" applyFill="0" applyBorder="0" applyAlignment="0" applyProtection="0"/>
    <xf numFmtId="0" fontId="19" fillId="0" borderId="0"/>
    <xf numFmtId="9" fontId="10"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36">
    <xf numFmtId="0" fontId="0" fillId="0" borderId="0" xfId="0"/>
    <xf numFmtId="49" fontId="0" fillId="0" borderId="0" xfId="0" applyNumberFormat="1"/>
    <xf numFmtId="49" fontId="7" fillId="0" borderId="0" xfId="0" applyNumberFormat="1" applyFont="1"/>
    <xf numFmtId="49" fontId="0" fillId="0" borderId="1" xfId="0" applyNumberFormat="1" applyBorder="1" applyAlignment="1">
      <alignment horizontal="centerContinuous"/>
    </xf>
    <xf numFmtId="49" fontId="7" fillId="0" borderId="0" xfId="0" applyNumberFormat="1" applyFont="1" applyAlignment="1">
      <alignment horizontal="centerContinuous"/>
    </xf>
    <xf numFmtId="49" fontId="0" fillId="0" borderId="0" xfId="0" applyNumberFormat="1" applyAlignment="1">
      <alignment horizontal="centerContinuous"/>
    </xf>
    <xf numFmtId="164" fontId="8" fillId="0" borderId="0" xfId="0" applyNumberFormat="1" applyFont="1"/>
    <xf numFmtId="49" fontId="8" fillId="0" borderId="0" xfId="0" applyNumberFormat="1" applyFont="1"/>
    <xf numFmtId="165" fontId="8" fillId="0" borderId="0" xfId="0" applyNumberFormat="1" applyFont="1"/>
    <xf numFmtId="164" fontId="8" fillId="0" borderId="3" xfId="0" applyNumberFormat="1" applyFont="1" applyBorder="1"/>
    <xf numFmtId="165" fontId="8" fillId="0" borderId="3" xfId="0" applyNumberFormat="1" applyFont="1" applyBorder="1"/>
    <xf numFmtId="164" fontId="8" fillId="0" borderId="4" xfId="0" applyNumberFormat="1" applyFont="1" applyBorder="1"/>
    <xf numFmtId="165" fontId="8" fillId="0" borderId="4" xfId="0" applyNumberFormat="1" applyFont="1" applyBorder="1"/>
    <xf numFmtId="164" fontId="7" fillId="0" borderId="5" xfId="0" applyNumberFormat="1" applyFont="1" applyBorder="1"/>
    <xf numFmtId="165" fontId="7" fillId="0" borderId="5" xfId="0" applyNumberFormat="1" applyFont="1" applyBorder="1"/>
    <xf numFmtId="0" fontId="7" fillId="0" borderId="0" xfId="0" applyFont="1"/>
    <xf numFmtId="49" fontId="7" fillId="0" borderId="0" xfId="0" applyNumberFormat="1" applyFont="1" applyAlignment="1">
      <alignment horizontal="center"/>
    </xf>
    <xf numFmtId="49" fontId="7" fillId="0" borderId="2"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164" fontId="8" fillId="0" borderId="6" xfId="0" applyNumberFormat="1" applyFont="1" applyBorder="1"/>
    <xf numFmtId="49" fontId="7" fillId="0" borderId="1" xfId="0" applyNumberFormat="1" applyFont="1" applyBorder="1" applyAlignment="1">
      <alignment horizontal="center"/>
    </xf>
    <xf numFmtId="49" fontId="7" fillId="0" borderId="7" xfId="0" applyNumberFormat="1" applyFont="1" applyBorder="1" applyAlignment="1">
      <alignment horizontal="center"/>
    </xf>
    <xf numFmtId="164" fontId="8" fillId="0" borderId="8" xfId="0" applyNumberFormat="1" applyFont="1" applyBorder="1"/>
    <xf numFmtId="164" fontId="8" fillId="0" borderId="9" xfId="0" applyNumberFormat="1" applyFont="1" applyBorder="1"/>
    <xf numFmtId="164" fontId="8" fillId="0" borderId="10" xfId="0" applyNumberFormat="1" applyFont="1" applyBorder="1"/>
    <xf numFmtId="164" fontId="8" fillId="0" borderId="11" xfId="0" applyNumberFormat="1" applyFont="1" applyBorder="1"/>
    <xf numFmtId="164" fontId="7" fillId="0" borderId="12" xfId="0" applyNumberFormat="1" applyFont="1" applyBorder="1"/>
    <xf numFmtId="49" fontId="7" fillId="0" borderId="0" xfId="0" applyNumberFormat="1" applyFont="1" applyAlignment="1">
      <alignment horizontal="left"/>
    </xf>
    <xf numFmtId="166" fontId="11" fillId="0" borderId="0" xfId="2" applyNumberFormat="1" applyFont="1"/>
    <xf numFmtId="166" fontId="12" fillId="0" borderId="0" xfId="2" applyNumberFormat="1" applyFont="1"/>
    <xf numFmtId="166" fontId="12" fillId="0" borderId="0" xfId="2" applyNumberFormat="1" applyFont="1" applyFill="1"/>
    <xf numFmtId="166" fontId="11" fillId="0" borderId="27" xfId="2" applyNumberFormat="1" applyFont="1" applyBorder="1"/>
    <xf numFmtId="166" fontId="11" fillId="0" borderId="6" xfId="2" applyNumberFormat="1" applyFont="1" applyBorder="1"/>
    <xf numFmtId="166" fontId="13" fillId="0" borderId="26" xfId="2" applyNumberFormat="1" applyFont="1" applyBorder="1" applyAlignment="1">
      <alignment horizontal="centerContinuous"/>
    </xf>
    <xf numFmtId="166" fontId="12" fillId="0" borderId="6" xfId="2" applyNumberFormat="1" applyFont="1" applyBorder="1" applyAlignment="1">
      <alignment horizontal="centerContinuous"/>
    </xf>
    <xf numFmtId="166" fontId="12" fillId="0" borderId="14" xfId="2" applyNumberFormat="1" applyFont="1" applyBorder="1" applyAlignment="1">
      <alignment horizontal="centerContinuous"/>
    </xf>
    <xf numFmtId="166" fontId="12" fillId="0" borderId="6" xfId="2" applyNumberFormat="1" applyFont="1" applyBorder="1"/>
    <xf numFmtId="166" fontId="11" fillId="2" borderId="28" xfId="2" applyNumberFormat="1" applyFont="1" applyFill="1" applyBorder="1" applyAlignment="1">
      <alignment horizontal="center"/>
    </xf>
    <xf numFmtId="166" fontId="11" fillId="0" borderId="0" xfId="2" applyNumberFormat="1" applyFont="1" applyAlignment="1">
      <alignment horizontal="center"/>
    </xf>
    <xf numFmtId="166" fontId="11" fillId="0" borderId="0" xfId="2" applyNumberFormat="1" applyFont="1" applyBorder="1" applyAlignment="1">
      <alignment horizontal="center"/>
    </xf>
    <xf numFmtId="166" fontId="11" fillId="0" borderId="17" xfId="2" applyNumberFormat="1" applyFont="1" applyBorder="1" applyAlignment="1">
      <alignment horizontal="center"/>
    </xf>
    <xf numFmtId="166" fontId="11" fillId="0" borderId="2" xfId="2" applyNumberFormat="1" applyFont="1" applyBorder="1" applyAlignment="1">
      <alignment horizontal="center"/>
    </xf>
    <xf numFmtId="166" fontId="11" fillId="0" borderId="24" xfId="2" applyNumberFormat="1" applyFont="1" applyBorder="1" applyAlignment="1">
      <alignment horizontal="center"/>
    </xf>
    <xf numFmtId="166" fontId="12" fillId="0" borderId="0" xfId="2" applyNumberFormat="1" applyFont="1" applyBorder="1" applyAlignment="1">
      <alignment horizontal="center"/>
    </xf>
    <xf numFmtId="166" fontId="11" fillId="2" borderId="17" xfId="2" applyNumberFormat="1" applyFont="1" applyFill="1" applyBorder="1" applyAlignment="1">
      <alignment horizontal="center"/>
    </xf>
    <xf numFmtId="166" fontId="11" fillId="0" borderId="17" xfId="2" applyNumberFormat="1" applyFont="1" applyFill="1" applyBorder="1" applyAlignment="1">
      <alignment horizontal="center"/>
    </xf>
    <xf numFmtId="166" fontId="11" fillId="0" borderId="24" xfId="2" applyNumberFormat="1" applyFont="1" applyFill="1" applyBorder="1" applyAlignment="1">
      <alignment horizontal="center"/>
    </xf>
    <xf numFmtId="166" fontId="12" fillId="0" borderId="0" xfId="2" applyNumberFormat="1" applyFont="1" applyAlignment="1">
      <alignment horizontal="center"/>
    </xf>
    <xf numFmtId="166" fontId="11" fillId="0" borderId="30" xfId="2" applyNumberFormat="1" applyFont="1" applyBorder="1"/>
    <xf numFmtId="166" fontId="11" fillId="0" borderId="0" xfId="2" applyNumberFormat="1" applyFont="1" applyBorder="1"/>
    <xf numFmtId="166" fontId="14" fillId="0" borderId="18" xfId="2" applyNumberFormat="1" applyFont="1" applyBorder="1"/>
    <xf numFmtId="166" fontId="14" fillId="0" borderId="0" xfId="2" applyNumberFormat="1" applyFont="1" applyBorder="1"/>
    <xf numFmtId="166" fontId="14" fillId="0" borderId="16" xfId="2" applyNumberFormat="1" applyFont="1" applyBorder="1"/>
    <xf numFmtId="166" fontId="14" fillId="2" borderId="18" xfId="2" applyNumberFormat="1" applyFont="1" applyFill="1" applyBorder="1"/>
    <xf numFmtId="166" fontId="14" fillId="0" borderId="18" xfId="2" applyNumberFormat="1" applyFont="1" applyFill="1" applyBorder="1"/>
    <xf numFmtId="166" fontId="11" fillId="0" borderId="3" xfId="2" applyNumberFormat="1" applyFont="1" applyBorder="1"/>
    <xf numFmtId="166" fontId="11" fillId="0" borderId="25" xfId="2" applyNumberFormat="1" applyFont="1" applyBorder="1"/>
    <xf numFmtId="166" fontId="14" fillId="0" borderId="19" xfId="2" applyNumberFormat="1" applyFont="1" applyBorder="1"/>
    <xf numFmtId="166" fontId="14" fillId="0" borderId="3" xfId="2" applyNumberFormat="1" applyFont="1" applyBorder="1"/>
    <xf numFmtId="166" fontId="14" fillId="0" borderId="25" xfId="2" applyNumberFormat="1" applyFont="1" applyBorder="1"/>
    <xf numFmtId="166" fontId="14" fillId="2" borderId="19" xfId="2" applyNumberFormat="1" applyFont="1" applyFill="1" applyBorder="1"/>
    <xf numFmtId="166" fontId="14" fillId="0" borderId="19" xfId="2" applyNumberFormat="1" applyFont="1" applyFill="1" applyBorder="1"/>
    <xf numFmtId="166" fontId="14" fillId="0" borderId="26" xfId="2" applyNumberFormat="1" applyFont="1" applyBorder="1"/>
    <xf numFmtId="166" fontId="14" fillId="0" borderId="6" xfId="2" applyNumberFormat="1" applyFont="1" applyBorder="1"/>
    <xf numFmtId="166" fontId="14" fillId="0" borderId="14" xfId="2" applyNumberFormat="1" applyFont="1" applyBorder="1"/>
    <xf numFmtId="166" fontId="14" fillId="0" borderId="20" xfId="2" applyNumberFormat="1" applyFont="1" applyBorder="1"/>
    <xf numFmtId="166" fontId="14" fillId="0" borderId="4" xfId="2" applyNumberFormat="1" applyFont="1" applyBorder="1"/>
    <xf numFmtId="166" fontId="14" fillId="0" borderId="15" xfId="2" applyNumberFormat="1" applyFont="1" applyBorder="1"/>
    <xf numFmtId="166" fontId="14" fillId="2" borderId="20" xfId="2" applyNumberFormat="1" applyFont="1" applyFill="1" applyBorder="1"/>
    <xf numFmtId="166" fontId="14" fillId="0" borderId="20" xfId="2" applyNumberFormat="1" applyFont="1" applyFill="1" applyBorder="1"/>
    <xf numFmtId="166" fontId="14" fillId="2" borderId="26" xfId="2" applyNumberFormat="1" applyFont="1" applyFill="1" applyBorder="1"/>
    <xf numFmtId="166" fontId="14" fillId="0" borderId="26" xfId="2" applyNumberFormat="1" applyFont="1" applyFill="1" applyBorder="1"/>
    <xf numFmtId="166" fontId="11" fillId="0" borderId="32" xfId="2" applyNumberFormat="1" applyFont="1" applyBorder="1"/>
    <xf numFmtId="166" fontId="15" fillId="0" borderId="18" xfId="2" applyNumberFormat="1" applyFont="1" applyBorder="1"/>
    <xf numFmtId="166" fontId="15" fillId="0" borderId="0" xfId="2" applyNumberFormat="1" applyFont="1" applyBorder="1"/>
    <xf numFmtId="166" fontId="15" fillId="0" borderId="16" xfId="2" applyNumberFormat="1" applyFont="1" applyBorder="1"/>
    <xf numFmtId="166" fontId="14" fillId="0" borderId="32" xfId="2" applyNumberFormat="1" applyFont="1" applyFill="1" applyBorder="1"/>
    <xf numFmtId="166" fontId="11" fillId="0" borderId="35" xfId="2" applyNumberFormat="1" applyFont="1" applyBorder="1"/>
    <xf numFmtId="166" fontId="11" fillId="0" borderId="20" xfId="2" applyNumberFormat="1" applyFont="1" applyBorder="1"/>
    <xf numFmtId="166" fontId="11" fillId="0" borderId="4" xfId="2" applyNumberFormat="1" applyFont="1" applyBorder="1"/>
    <xf numFmtId="166" fontId="11" fillId="0" borderId="15" xfId="2" applyNumberFormat="1" applyFont="1" applyBorder="1"/>
    <xf numFmtId="166" fontId="11" fillId="2" borderId="20" xfId="2" applyNumberFormat="1" applyFont="1" applyFill="1" applyBorder="1"/>
    <xf numFmtId="166" fontId="11" fillId="0" borderId="20" xfId="2" applyNumberFormat="1" applyFont="1" applyFill="1" applyBorder="1"/>
    <xf numFmtId="166" fontId="12" fillId="0" borderId="3" xfId="2" applyNumberFormat="1" applyFont="1" applyBorder="1"/>
    <xf numFmtId="166" fontId="12" fillId="0" borderId="3" xfId="2" applyNumberFormat="1" applyFont="1" applyFill="1" applyBorder="1"/>
    <xf numFmtId="166" fontId="12" fillId="0" borderId="26" xfId="2" applyNumberFormat="1" applyFont="1" applyFill="1" applyBorder="1"/>
    <xf numFmtId="166" fontId="12" fillId="0" borderId="19" xfId="2" applyNumberFormat="1" applyFont="1" applyFill="1" applyBorder="1"/>
    <xf numFmtId="166" fontId="12" fillId="0" borderId="14" xfId="2" applyNumberFormat="1" applyFont="1" applyBorder="1"/>
    <xf numFmtId="166" fontId="11" fillId="0" borderId="30" xfId="2" quotePrefix="1" applyNumberFormat="1" applyFont="1" applyBorder="1" applyAlignment="1">
      <alignment horizontal="left"/>
    </xf>
    <xf numFmtId="166" fontId="11" fillId="0" borderId="0" xfId="2" quotePrefix="1" applyNumberFormat="1" applyFont="1" applyBorder="1" applyAlignment="1">
      <alignment horizontal="left"/>
    </xf>
    <xf numFmtId="166" fontId="16" fillId="0" borderId="0" xfId="2" applyNumberFormat="1" applyFont="1" applyBorder="1"/>
    <xf numFmtId="166" fontId="17" fillId="0" borderId="18" xfId="2" applyNumberFormat="1" applyFont="1" applyBorder="1"/>
    <xf numFmtId="166" fontId="17" fillId="0" borderId="0" xfId="2" applyNumberFormat="1" applyFont="1" applyBorder="1"/>
    <xf numFmtId="166" fontId="17" fillId="0" borderId="16" xfId="2" applyNumberFormat="1" applyFont="1" applyBorder="1"/>
    <xf numFmtId="166" fontId="17" fillId="2" borderId="18" xfId="2" applyNumberFormat="1" applyFont="1" applyFill="1" applyBorder="1"/>
    <xf numFmtId="166" fontId="17" fillId="0" borderId="18" xfId="2" applyNumberFormat="1" applyFont="1" applyFill="1" applyBorder="1"/>
    <xf numFmtId="166" fontId="18" fillId="0" borderId="0" xfId="2" applyNumberFormat="1" applyFont="1"/>
    <xf numFmtId="166" fontId="11" fillId="0" borderId="39" xfId="2" applyNumberFormat="1" applyFont="1" applyBorder="1"/>
    <xf numFmtId="166" fontId="11" fillId="0" borderId="13" xfId="2" applyNumberFormat="1" applyFont="1" applyBorder="1"/>
    <xf numFmtId="166" fontId="12" fillId="0" borderId="13" xfId="2" applyNumberFormat="1" applyFont="1" applyBorder="1"/>
    <xf numFmtId="166" fontId="12" fillId="0" borderId="40" xfId="2" applyNumberFormat="1" applyFont="1" applyFill="1" applyBorder="1"/>
    <xf numFmtId="166" fontId="12" fillId="0" borderId="38" xfId="2" applyNumberFormat="1" applyFont="1" applyBorder="1"/>
    <xf numFmtId="167" fontId="8" fillId="0" borderId="0" xfId="0" applyNumberFormat="1" applyFont="1"/>
    <xf numFmtId="167" fontId="8" fillId="0" borderId="3" xfId="0" applyNumberFormat="1" applyFont="1" applyBorder="1"/>
    <xf numFmtId="167" fontId="8" fillId="0" borderId="4" xfId="0" applyNumberFormat="1" applyFont="1" applyBorder="1"/>
    <xf numFmtId="167" fontId="8" fillId="0" borderId="6" xfId="0" applyNumberFormat="1" applyFont="1" applyBorder="1"/>
    <xf numFmtId="167" fontId="7" fillId="0" borderId="5" xfId="0" applyNumberFormat="1" applyFont="1" applyBorder="1"/>
    <xf numFmtId="167" fontId="7" fillId="0" borderId="0" xfId="0" applyNumberFormat="1" applyFont="1"/>
    <xf numFmtId="166" fontId="14" fillId="0" borderId="33" xfId="2" applyNumberFormat="1" applyFont="1" applyFill="1" applyBorder="1"/>
    <xf numFmtId="166" fontId="14" fillId="0" borderId="34" xfId="2" applyNumberFormat="1" applyFont="1" applyFill="1" applyBorder="1"/>
    <xf numFmtId="166" fontId="17" fillId="0" borderId="32" xfId="2" applyNumberFormat="1" applyFont="1" applyFill="1" applyBorder="1"/>
    <xf numFmtId="166" fontId="14" fillId="0" borderId="29" xfId="2" applyNumberFormat="1" applyFont="1" applyFill="1" applyBorder="1"/>
    <xf numFmtId="166" fontId="11" fillId="0" borderId="34" xfId="2" applyNumberFormat="1" applyFont="1" applyFill="1" applyBorder="1"/>
    <xf numFmtId="166" fontId="12" fillId="0" borderId="29" xfId="2" applyNumberFormat="1" applyFont="1" applyFill="1" applyBorder="1"/>
    <xf numFmtId="166" fontId="12" fillId="0" borderId="41" xfId="2" applyNumberFormat="1" applyFont="1" applyFill="1" applyBorder="1"/>
    <xf numFmtId="166" fontId="12" fillId="0" borderId="33" xfId="2" applyNumberFormat="1" applyFont="1" applyFill="1" applyBorder="1"/>
    <xf numFmtId="0" fontId="24" fillId="0" borderId="0" xfId="0" applyFont="1"/>
    <xf numFmtId="0" fontId="25" fillId="0" borderId="0" xfId="0" applyFont="1" applyAlignment="1">
      <alignment horizontal="center" wrapText="1"/>
    </xf>
    <xf numFmtId="0" fontId="26" fillId="0" borderId="0" xfId="0" applyFont="1" applyAlignment="1">
      <alignment horizontal="left" vertical="center"/>
    </xf>
    <xf numFmtId="0" fontId="0" fillId="0" borderId="0" xfId="0" applyAlignment="1">
      <alignment vertical="top"/>
    </xf>
    <xf numFmtId="0" fontId="27" fillId="0" borderId="0" xfId="0" applyFont="1" applyAlignment="1">
      <alignment horizontal="left" vertical="top"/>
    </xf>
    <xf numFmtId="0" fontId="28" fillId="4" borderId="42" xfId="0" applyFont="1" applyFill="1" applyBorder="1"/>
    <xf numFmtId="0" fontId="29" fillId="0" borderId="44" xfId="0" applyFont="1" applyBorder="1"/>
    <xf numFmtId="166" fontId="9" fillId="3" borderId="45" xfId="2" applyNumberFormat="1" applyFont="1" applyFill="1" applyBorder="1" applyAlignment="1">
      <alignment horizontal="right" vertical="center"/>
    </xf>
    <xf numFmtId="166" fontId="9" fillId="0" borderId="45" xfId="2" applyNumberFormat="1" applyFont="1" applyFill="1" applyBorder="1" applyAlignment="1">
      <alignment horizontal="right" vertical="center"/>
    </xf>
    <xf numFmtId="0" fontId="9" fillId="0" borderId="42" xfId="0" applyFont="1" applyBorder="1"/>
    <xf numFmtId="166" fontId="9" fillId="3" borderId="42" xfId="2" applyNumberFormat="1" applyFont="1" applyFill="1" applyBorder="1" applyAlignment="1">
      <alignment horizontal="right"/>
    </xf>
    <xf numFmtId="166" fontId="9" fillId="0" borderId="42" xfId="2" applyNumberFormat="1" applyFont="1" applyFill="1" applyBorder="1" applyAlignment="1">
      <alignment horizontal="right"/>
    </xf>
    <xf numFmtId="0" fontId="9" fillId="0" borderId="46" xfId="0" applyFont="1" applyBorder="1"/>
    <xf numFmtId="166" fontId="9" fillId="3" borderId="46" xfId="2" applyNumberFormat="1" applyFont="1" applyFill="1" applyBorder="1" applyAlignment="1">
      <alignment horizontal="right" vertical="center"/>
    </xf>
    <xf numFmtId="166" fontId="9" fillId="0" borderId="46" xfId="2" applyNumberFormat="1" applyFont="1" applyFill="1" applyBorder="1" applyAlignment="1">
      <alignment horizontal="right" vertical="center"/>
    </xf>
    <xf numFmtId="0" fontId="9" fillId="0" borderId="47" xfId="0" applyFont="1" applyBorder="1"/>
    <xf numFmtId="0" fontId="9" fillId="0" borderId="46" xfId="0" applyFont="1" applyBorder="1" applyAlignment="1">
      <alignment vertical="center"/>
    </xf>
    <xf numFmtId="0" fontId="9" fillId="0" borderId="30" xfId="0" applyFont="1" applyBorder="1" applyAlignment="1">
      <alignment vertical="center"/>
    </xf>
    <xf numFmtId="0" fontId="9" fillId="0" borderId="48" xfId="0" applyFont="1" applyBorder="1"/>
    <xf numFmtId="41" fontId="9" fillId="3" borderId="48" xfId="0" applyNumberFormat="1" applyFont="1" applyFill="1" applyBorder="1" applyAlignment="1">
      <alignment horizontal="center" vertical="center"/>
    </xf>
    <xf numFmtId="41" fontId="9" fillId="0" borderId="48" xfId="0" applyNumberFormat="1" applyFont="1" applyBorder="1" applyAlignment="1">
      <alignment horizontal="center" vertical="center"/>
    </xf>
    <xf numFmtId="0" fontId="9" fillId="0" borderId="47" xfId="0" applyFont="1" applyBorder="1" applyAlignment="1">
      <alignment horizontal="left"/>
    </xf>
    <xf numFmtId="41" fontId="9" fillId="3" borderId="46" xfId="0" applyNumberFormat="1" applyFont="1" applyFill="1" applyBorder="1" applyAlignment="1">
      <alignment horizontal="center" vertical="center"/>
    </xf>
    <xf numFmtId="41" fontId="9" fillId="0" borderId="46" xfId="0" applyNumberFormat="1" applyFont="1" applyBorder="1" applyAlignment="1">
      <alignment horizontal="center" vertical="center"/>
    </xf>
    <xf numFmtId="0" fontId="29" fillId="0" borderId="44" xfId="0" applyFont="1" applyBorder="1" applyAlignment="1">
      <alignment horizontal="left"/>
    </xf>
    <xf numFmtId="41" fontId="29" fillId="3" borderId="45" xfId="0" applyNumberFormat="1" applyFont="1" applyFill="1" applyBorder="1" applyAlignment="1">
      <alignment horizontal="center" vertical="center"/>
    </xf>
    <xf numFmtId="41" fontId="29" fillId="0" borderId="45" xfId="0" applyNumberFormat="1" applyFont="1" applyBorder="1" applyAlignment="1">
      <alignment horizontal="center" vertical="center"/>
    </xf>
    <xf numFmtId="0" fontId="28" fillId="4" borderId="49" xfId="0" applyFont="1" applyFill="1" applyBorder="1"/>
    <xf numFmtId="3" fontId="30" fillId="0" borderId="0" xfId="0" applyNumberFormat="1" applyFont="1" applyAlignment="1">
      <alignment horizontal="right" vertical="center"/>
    </xf>
    <xf numFmtId="0" fontId="29" fillId="0" borderId="35" xfId="0" applyFont="1" applyBorder="1"/>
    <xf numFmtId="41" fontId="21" fillId="3" borderId="45" xfId="0" applyNumberFormat="1" applyFont="1" applyFill="1" applyBorder="1"/>
    <xf numFmtId="41" fontId="21" fillId="0" borderId="45" xfId="0" applyNumberFormat="1" applyFont="1" applyBorder="1"/>
    <xf numFmtId="0" fontId="31" fillId="0" borderId="46" xfId="0" applyFont="1" applyBorder="1" applyAlignment="1">
      <alignment horizontal="left"/>
    </xf>
    <xf numFmtId="41" fontId="31" fillId="3" borderId="46" xfId="0" applyNumberFormat="1" applyFont="1" applyFill="1" applyBorder="1"/>
    <xf numFmtId="41" fontId="31" fillId="0" borderId="46" xfId="0" applyNumberFormat="1" applyFont="1" applyBorder="1"/>
    <xf numFmtId="0" fontId="9" fillId="0" borderId="30" xfId="0" applyFont="1" applyBorder="1"/>
    <xf numFmtId="0" fontId="9" fillId="0" borderId="50" xfId="0" applyFont="1" applyBorder="1"/>
    <xf numFmtId="41" fontId="31" fillId="3" borderId="48" xfId="0" applyNumberFormat="1" applyFont="1" applyFill="1" applyBorder="1"/>
    <xf numFmtId="41" fontId="31" fillId="0" borderId="48" xfId="0" applyNumberFormat="1" applyFont="1" applyBorder="1"/>
    <xf numFmtId="0" fontId="31" fillId="0" borderId="51" xfId="0" applyFont="1" applyBorder="1" applyAlignment="1">
      <alignment horizontal="left"/>
    </xf>
    <xf numFmtId="41" fontId="9" fillId="3" borderId="51" xfId="0" applyNumberFormat="1" applyFont="1" applyFill="1" applyBorder="1" applyAlignment="1">
      <alignment horizontal="center"/>
    </xf>
    <xf numFmtId="41" fontId="9" fillId="0" borderId="51" xfId="0" applyNumberFormat="1" applyFont="1" applyBorder="1" applyAlignment="1">
      <alignment horizontal="center"/>
    </xf>
    <xf numFmtId="0" fontId="29" fillId="0" borderId="52" xfId="0" applyFont="1" applyBorder="1" applyAlignment="1">
      <alignment horizontal="left"/>
    </xf>
    <xf numFmtId="41" fontId="29" fillId="3" borderId="45" xfId="0" applyNumberFormat="1" applyFont="1" applyFill="1" applyBorder="1" applyAlignment="1">
      <alignment horizontal="center"/>
    </xf>
    <xf numFmtId="41" fontId="29" fillId="0" borderId="45" xfId="0" applyNumberFormat="1" applyFont="1" applyBorder="1" applyAlignment="1">
      <alignment horizontal="center"/>
    </xf>
    <xf numFmtId="0" fontId="29" fillId="0" borderId="52" xfId="0" applyFont="1" applyBorder="1"/>
    <xf numFmtId="0" fontId="31" fillId="0" borderId="30" xfId="0" applyFont="1" applyBorder="1"/>
    <xf numFmtId="0" fontId="9" fillId="0" borderId="30" xfId="0" applyFont="1" applyBorder="1" applyAlignment="1">
      <alignment horizontal="left" wrapText="1"/>
    </xf>
    <xf numFmtId="0" fontId="9" fillId="0" borderId="46" xfId="0" applyFont="1" applyBorder="1" applyAlignment="1">
      <alignment horizontal="left" wrapText="1"/>
    </xf>
    <xf numFmtId="0" fontId="9" fillId="0" borderId="50" xfId="0" applyFont="1" applyBorder="1" applyAlignment="1">
      <alignment horizontal="left" wrapText="1"/>
    </xf>
    <xf numFmtId="0" fontId="31" fillId="0" borderId="53" xfId="0" applyFont="1" applyBorder="1" applyAlignment="1">
      <alignment horizontal="left"/>
    </xf>
    <xf numFmtId="41" fontId="9" fillId="3" borderId="53" xfId="0" applyNumberFormat="1" applyFont="1" applyFill="1" applyBorder="1" applyAlignment="1">
      <alignment horizontal="center"/>
    </xf>
    <xf numFmtId="41" fontId="9" fillId="0" borderId="53" xfId="0" applyNumberFormat="1" applyFont="1" applyBorder="1" applyAlignment="1">
      <alignment horizontal="center"/>
    </xf>
    <xf numFmtId="0" fontId="29" fillId="0" borderId="43" xfId="0" applyFont="1" applyBorder="1" applyAlignment="1">
      <alignment horizontal="left"/>
    </xf>
    <xf numFmtId="41" fontId="29" fillId="3" borderId="43" xfId="0" applyNumberFormat="1" applyFont="1" applyFill="1" applyBorder="1" applyAlignment="1">
      <alignment horizontal="center"/>
    </xf>
    <xf numFmtId="41" fontId="29" fillId="0" borderId="43" xfId="0" applyNumberFormat="1" applyFont="1" applyBorder="1" applyAlignment="1">
      <alignment horizontal="center"/>
    </xf>
    <xf numFmtId="0" fontId="28" fillId="4" borderId="42" xfId="0" applyFont="1" applyFill="1" applyBorder="1" applyAlignment="1">
      <alignment vertical="center"/>
    </xf>
    <xf numFmtId="41" fontId="9" fillId="3" borderId="42" xfId="0" applyNumberFormat="1" applyFont="1" applyFill="1" applyBorder="1" applyAlignment="1">
      <alignment horizontal="center"/>
    </xf>
    <xf numFmtId="41" fontId="9" fillId="0" borderId="42" xfId="0" applyNumberFormat="1" applyFont="1" applyBorder="1" applyAlignment="1">
      <alignment horizontal="center"/>
    </xf>
    <xf numFmtId="0" fontId="28" fillId="4" borderId="45" xfId="0" applyFont="1" applyFill="1" applyBorder="1"/>
    <xf numFmtId="166" fontId="21" fillId="3" borderId="45" xfId="2" applyNumberFormat="1" applyFont="1" applyFill="1" applyBorder="1" applyAlignment="1">
      <alignment horizontal="right"/>
    </xf>
    <xf numFmtId="166" fontId="21" fillId="0" borderId="45" xfId="2" applyNumberFormat="1" applyFont="1" applyBorder="1" applyAlignment="1">
      <alignment horizontal="right"/>
    </xf>
    <xf numFmtId="166" fontId="11" fillId="0" borderId="31" xfId="2" applyNumberFormat="1" applyFont="1" applyFill="1" applyBorder="1" applyAlignment="1">
      <alignment horizontal="center" wrapText="1"/>
    </xf>
    <xf numFmtId="0" fontId="6" fillId="0" borderId="0" xfId="0" applyFont="1"/>
    <xf numFmtId="166" fontId="6" fillId="0" borderId="0" xfId="2" applyNumberFormat="1" applyFont="1"/>
    <xf numFmtId="0" fontId="33" fillId="0" borderId="0" xfId="0" applyFont="1"/>
    <xf numFmtId="166" fontId="33" fillId="0" borderId="0" xfId="2" applyNumberFormat="1" applyFont="1"/>
    <xf numFmtId="0" fontId="20" fillId="0" borderId="0" xfId="0" applyFont="1"/>
    <xf numFmtId="166" fontId="20" fillId="0" borderId="0" xfId="2" applyNumberFormat="1" applyFont="1"/>
    <xf numFmtId="0" fontId="34" fillId="0" borderId="0" xfId="0" applyFont="1"/>
    <xf numFmtId="166" fontId="33" fillId="0" borderId="43" xfId="2" applyNumberFormat="1" applyFont="1" applyBorder="1"/>
    <xf numFmtId="166" fontId="33" fillId="0" borderId="13" xfId="2" applyNumberFormat="1" applyFont="1" applyBorder="1"/>
    <xf numFmtId="166" fontId="33" fillId="0" borderId="40" xfId="2" applyNumberFormat="1" applyFont="1" applyBorder="1"/>
    <xf numFmtId="49" fontId="33" fillId="0" borderId="0" xfId="0" applyNumberFormat="1" applyFont="1"/>
    <xf numFmtId="166" fontId="34" fillId="0" borderId="45" xfId="2" applyNumberFormat="1" applyFont="1" applyBorder="1"/>
    <xf numFmtId="166" fontId="34" fillId="0" borderId="4" xfId="2" applyNumberFormat="1" applyFont="1" applyBorder="1"/>
    <xf numFmtId="166" fontId="34" fillId="0" borderId="20" xfId="2" applyNumberFormat="1" applyFont="1" applyBorder="1"/>
    <xf numFmtId="49" fontId="34" fillId="0" borderId="0" xfId="0" applyNumberFormat="1" applyFont="1"/>
    <xf numFmtId="166" fontId="33" fillId="0" borderId="46" xfId="2" applyNumberFormat="1" applyFont="1" applyBorder="1"/>
    <xf numFmtId="166" fontId="33" fillId="0" borderId="0" xfId="2" applyNumberFormat="1" applyFont="1" applyBorder="1"/>
    <xf numFmtId="166" fontId="33" fillId="0" borderId="18" xfId="2" applyNumberFormat="1" applyFont="1" applyBorder="1"/>
    <xf numFmtId="166" fontId="34" fillId="0" borderId="46" xfId="2" applyNumberFormat="1" applyFont="1" applyBorder="1"/>
    <xf numFmtId="166" fontId="34" fillId="0" borderId="0" xfId="2" applyNumberFormat="1" applyFont="1" applyBorder="1"/>
    <xf numFmtId="166" fontId="34" fillId="0" borderId="18" xfId="2" applyNumberFormat="1" applyFont="1" applyBorder="1"/>
    <xf numFmtId="166" fontId="34" fillId="0" borderId="0" xfId="2" applyNumberFormat="1" applyFont="1"/>
    <xf numFmtId="166" fontId="34" fillId="0" borderId="46" xfId="2" applyNumberFormat="1" applyFont="1" applyBorder="1" applyAlignment="1">
      <alignment horizontal="center"/>
    </xf>
    <xf numFmtId="0" fontId="6" fillId="0" borderId="0" xfId="0" applyFont="1" applyAlignment="1">
      <alignment horizontal="center"/>
    </xf>
    <xf numFmtId="166" fontId="34" fillId="0" borderId="46" xfId="2" applyNumberFormat="1" applyFont="1" applyBorder="1" applyAlignment="1">
      <alignment horizontal="right"/>
    </xf>
    <xf numFmtId="166" fontId="33" fillId="0" borderId="0" xfId="2" applyNumberFormat="1" applyFont="1" applyBorder="1" applyAlignment="1">
      <alignment horizontal="right"/>
    </xf>
    <xf numFmtId="166" fontId="33" fillId="0" borderId="18" xfId="2" applyNumberFormat="1" applyFont="1" applyBorder="1" applyAlignment="1">
      <alignment horizontal="right"/>
    </xf>
    <xf numFmtId="166" fontId="33" fillId="0" borderId="0" xfId="2" applyNumberFormat="1" applyFont="1" applyBorder="1" applyAlignment="1">
      <alignment horizontal="center"/>
    </xf>
    <xf numFmtId="166" fontId="33" fillId="0" borderId="18" xfId="2" applyNumberFormat="1" applyFont="1" applyBorder="1" applyAlignment="1">
      <alignment horizontal="center"/>
    </xf>
    <xf numFmtId="49" fontId="33" fillId="0" borderId="0" xfId="0" applyNumberFormat="1" applyFont="1" applyAlignment="1">
      <alignment horizontal="center"/>
    </xf>
    <xf numFmtId="166" fontId="33" fillId="0" borderId="54" xfId="2" applyNumberFormat="1" applyFont="1" applyBorder="1" applyAlignment="1">
      <alignment horizontal="center"/>
    </xf>
    <xf numFmtId="166" fontId="33" fillId="0" borderId="1" xfId="2" applyNumberFormat="1" applyFont="1" applyBorder="1" applyAlignment="1">
      <alignment horizontal="center"/>
    </xf>
    <xf numFmtId="166" fontId="33" fillId="0" borderId="55" xfId="2" applyNumberFormat="1" applyFont="1" applyBorder="1" applyAlignment="1">
      <alignment horizontal="center"/>
    </xf>
    <xf numFmtId="41" fontId="21" fillId="3" borderId="45" xfId="0" applyNumberFormat="1" applyFont="1" applyFill="1" applyBorder="1" applyAlignment="1">
      <alignment horizontal="right"/>
    </xf>
    <xf numFmtId="166" fontId="13" fillId="0" borderId="0" xfId="2" applyNumberFormat="1" applyFont="1" applyFill="1" applyBorder="1" applyAlignment="1">
      <alignment horizontal="centerContinuous"/>
    </xf>
    <xf numFmtId="166" fontId="11" fillId="0" borderId="0" xfId="2" applyNumberFormat="1" applyFont="1" applyFill="1" applyBorder="1" applyAlignment="1">
      <alignment horizontal="center" wrapText="1"/>
    </xf>
    <xf numFmtId="166" fontId="14" fillId="0" borderId="0" xfId="2" applyNumberFormat="1" applyFont="1" applyFill="1" applyBorder="1"/>
    <xf numFmtId="166" fontId="13" fillId="0" borderId="29" xfId="2" applyNumberFormat="1" applyFont="1" applyFill="1" applyBorder="1" applyAlignment="1">
      <alignment horizontal="center"/>
    </xf>
    <xf numFmtId="9" fontId="14" fillId="0" borderId="0" xfId="4" applyFont="1" applyFill="1" applyBorder="1"/>
    <xf numFmtId="9" fontId="14" fillId="0" borderId="0" xfId="4" applyFont="1" applyBorder="1"/>
    <xf numFmtId="9" fontId="12" fillId="0" borderId="0" xfId="4" applyFont="1"/>
    <xf numFmtId="9" fontId="12" fillId="0" borderId="6" xfId="4" applyFont="1" applyBorder="1" applyAlignment="1">
      <alignment horizontal="centerContinuous"/>
    </xf>
    <xf numFmtId="9" fontId="11" fillId="0" borderId="2" xfId="4" applyFont="1" applyBorder="1" applyAlignment="1">
      <alignment horizontal="center"/>
    </xf>
    <xf numFmtId="9" fontId="14" fillId="0" borderId="3" xfId="4" applyFont="1" applyBorder="1"/>
    <xf numFmtId="9" fontId="14" fillId="0" borderId="4" xfId="4" applyFont="1" applyBorder="1"/>
    <xf numFmtId="9" fontId="17" fillId="0" borderId="0" xfId="4" applyFont="1" applyBorder="1"/>
    <xf numFmtId="9" fontId="14" fillId="0" borderId="6" xfId="4" applyFont="1" applyBorder="1"/>
    <xf numFmtId="9" fontId="11" fillId="0" borderId="4" xfId="4" applyFont="1" applyBorder="1"/>
    <xf numFmtId="9" fontId="12" fillId="0" borderId="6" xfId="4" applyFont="1" applyBorder="1"/>
    <xf numFmtId="9" fontId="12" fillId="0" borderId="13" xfId="4" applyFont="1" applyBorder="1"/>
    <xf numFmtId="9" fontId="12" fillId="0" borderId="3" xfId="4" applyFont="1" applyBorder="1"/>
    <xf numFmtId="0" fontId="36" fillId="0" borderId="0" xfId="0" applyFont="1" applyAlignment="1">
      <alignment vertical="center" wrapText="1"/>
    </xf>
    <xf numFmtId="0" fontId="32" fillId="0" borderId="0" xfId="0" applyFont="1" applyAlignment="1">
      <alignment vertical="top"/>
    </xf>
    <xf numFmtId="0" fontId="0" fillId="0" borderId="0" xfId="0" applyAlignment="1">
      <alignment horizontal="center" vertical="top"/>
    </xf>
    <xf numFmtId="0" fontId="35" fillId="0" borderId="0" xfId="0" applyFont="1" applyAlignment="1">
      <alignment vertical="center"/>
    </xf>
    <xf numFmtId="0" fontId="5" fillId="0" borderId="0" xfId="0" applyFont="1"/>
    <xf numFmtId="166" fontId="33" fillId="0" borderId="1" xfId="2" quotePrefix="1" applyNumberFormat="1" applyFont="1" applyBorder="1" applyAlignment="1">
      <alignment horizontal="center"/>
    </xf>
    <xf numFmtId="166" fontId="38" fillId="0" borderId="0" xfId="2" applyNumberFormat="1" applyFont="1" applyBorder="1"/>
    <xf numFmtId="49" fontId="34" fillId="0" borderId="22" xfId="0" applyNumberFormat="1" applyFont="1" applyBorder="1"/>
    <xf numFmtId="0" fontId="20" fillId="0" borderId="22" xfId="0" applyFont="1" applyBorder="1"/>
    <xf numFmtId="166" fontId="34" fillId="0" borderId="21" xfId="2" applyNumberFormat="1" applyFont="1" applyBorder="1"/>
    <xf numFmtId="166" fontId="34" fillId="0" borderId="22" xfId="2" applyNumberFormat="1" applyFont="1" applyBorder="1"/>
    <xf numFmtId="166" fontId="34" fillId="0" borderId="56" xfId="2" applyNumberFormat="1" applyFont="1" applyBorder="1"/>
    <xf numFmtId="166" fontId="20" fillId="0" borderId="40" xfId="2" applyNumberFormat="1" applyFont="1" applyBorder="1"/>
    <xf numFmtId="166" fontId="20" fillId="0" borderId="13" xfId="2" applyNumberFormat="1" applyFont="1" applyBorder="1"/>
    <xf numFmtId="166" fontId="33" fillId="0" borderId="57" xfId="2" applyNumberFormat="1" applyFont="1" applyBorder="1" applyAlignment="1">
      <alignment horizontal="center"/>
    </xf>
    <xf numFmtId="166" fontId="20" fillId="0" borderId="58" xfId="2" applyNumberFormat="1" applyFont="1" applyBorder="1"/>
    <xf numFmtId="166" fontId="20" fillId="0" borderId="59" xfId="2" applyNumberFormat="1" applyFont="1" applyBorder="1"/>
    <xf numFmtId="49" fontId="33" fillId="0" borderId="18" xfId="0" applyNumberFormat="1" applyFont="1" applyBorder="1" applyAlignment="1">
      <alignment horizontal="center"/>
    </xf>
    <xf numFmtId="49" fontId="33" fillId="0" borderId="16" xfId="0" applyNumberFormat="1" applyFont="1" applyBorder="1" applyAlignment="1">
      <alignment horizontal="center"/>
    </xf>
    <xf numFmtId="49" fontId="34" fillId="0" borderId="18" xfId="0" applyNumberFormat="1" applyFont="1" applyBorder="1"/>
    <xf numFmtId="49" fontId="34" fillId="0" borderId="16" xfId="0" applyNumberFormat="1" applyFont="1" applyBorder="1"/>
    <xf numFmtId="49" fontId="33" fillId="0" borderId="18" xfId="0" applyNumberFormat="1" applyFont="1" applyBorder="1"/>
    <xf numFmtId="0" fontId="33" fillId="0" borderId="16" xfId="0" applyFont="1" applyBorder="1"/>
    <xf numFmtId="49" fontId="34" fillId="0" borderId="23" xfId="0" applyNumberFormat="1" applyFont="1" applyBorder="1"/>
    <xf numFmtId="49" fontId="33" fillId="0" borderId="16" xfId="0" applyNumberFormat="1" applyFont="1" applyBorder="1"/>
    <xf numFmtId="0" fontId="20" fillId="0" borderId="23" xfId="0" applyFont="1" applyBorder="1"/>
    <xf numFmtId="0" fontId="34" fillId="0" borderId="40" xfId="0" applyFont="1" applyBorder="1"/>
    <xf numFmtId="0" fontId="34" fillId="0" borderId="13" xfId="0" applyFont="1" applyBorder="1"/>
    <xf numFmtId="0" fontId="34" fillId="0" borderId="38" xfId="0" applyFont="1" applyBorder="1"/>
    <xf numFmtId="166" fontId="33" fillId="0" borderId="8" xfId="2" applyNumberFormat="1" applyFont="1" applyBorder="1"/>
    <xf numFmtId="166" fontId="9" fillId="0" borderId="0" xfId="2" quotePrefix="1" applyNumberFormat="1" applyFont="1" applyBorder="1"/>
    <xf numFmtId="166" fontId="34" fillId="0" borderId="42" xfId="2" applyNumberFormat="1" applyFont="1" applyBorder="1"/>
    <xf numFmtId="166" fontId="33" fillId="0" borderId="42" xfId="2" applyNumberFormat="1" applyFont="1" applyBorder="1"/>
    <xf numFmtId="166" fontId="20" fillId="0" borderId="51" xfId="2" applyNumberFormat="1" applyFont="1" applyBorder="1"/>
    <xf numFmtId="166" fontId="20" fillId="0" borderId="43" xfId="2" applyNumberFormat="1" applyFont="1" applyBorder="1"/>
    <xf numFmtId="166" fontId="33" fillId="0" borderId="49" xfId="2" applyNumberFormat="1" applyFont="1" applyBorder="1"/>
    <xf numFmtId="0" fontId="4" fillId="0" borderId="0" xfId="8"/>
    <xf numFmtId="168" fontId="0" fillId="0" borderId="0" xfId="9" applyNumberFormat="1" applyFont="1"/>
    <xf numFmtId="168" fontId="0" fillId="5" borderId="0" xfId="9" applyNumberFormat="1" applyFont="1" applyFill="1"/>
    <xf numFmtId="168" fontId="0" fillId="2" borderId="0" xfId="9" applyNumberFormat="1" applyFont="1" applyFill="1"/>
    <xf numFmtId="168" fontId="0" fillId="0" borderId="0" xfId="9" applyNumberFormat="1" applyFont="1" applyFill="1"/>
    <xf numFmtId="168" fontId="0" fillId="5" borderId="13" xfId="9" applyNumberFormat="1" applyFont="1" applyFill="1" applyBorder="1"/>
    <xf numFmtId="168" fontId="0" fillId="0" borderId="13" xfId="9" applyNumberFormat="1" applyFont="1" applyBorder="1"/>
    <xf numFmtId="168" fontId="0" fillId="0" borderId="13" xfId="9" applyNumberFormat="1" applyFont="1" applyFill="1" applyBorder="1"/>
    <xf numFmtId="168" fontId="0" fillId="5" borderId="59" xfId="9" applyNumberFormat="1" applyFont="1" applyFill="1" applyBorder="1"/>
    <xf numFmtId="168" fontId="0" fillId="0" borderId="59" xfId="9" applyNumberFormat="1" applyFont="1" applyBorder="1"/>
    <xf numFmtId="168" fontId="0" fillId="0" borderId="59" xfId="9" applyNumberFormat="1" applyFont="1" applyFill="1" applyBorder="1"/>
    <xf numFmtId="168" fontId="0" fillId="0" borderId="0" xfId="9" applyNumberFormat="1" applyFont="1" applyBorder="1"/>
    <xf numFmtId="0" fontId="3" fillId="0" borderId="0" xfId="0" applyFont="1"/>
    <xf numFmtId="166" fontId="3" fillId="0" borderId="0" xfId="2" applyNumberFormat="1" applyFont="1"/>
    <xf numFmtId="0" fontId="3" fillId="0" borderId="16" xfId="0" applyFont="1" applyBorder="1"/>
    <xf numFmtId="0" fontId="3" fillId="0" borderId="0" xfId="0" applyFont="1" applyAlignment="1">
      <alignment horizontal="center"/>
    </xf>
    <xf numFmtId="166" fontId="34" fillId="0" borderId="54" xfId="2" quotePrefix="1" applyNumberFormat="1" applyFont="1" applyBorder="1" applyAlignment="1">
      <alignment horizontal="center"/>
    </xf>
    <xf numFmtId="166" fontId="9" fillId="0" borderId="0" xfId="2" applyNumberFormat="1" applyFont="1" applyBorder="1"/>
    <xf numFmtId="166" fontId="9" fillId="0" borderId="46" xfId="2" applyNumberFormat="1" applyFont="1" applyBorder="1"/>
    <xf numFmtId="168" fontId="0" fillId="0" borderId="0" xfId="9" applyNumberFormat="1" applyFont="1" applyFill="1" applyBorder="1"/>
    <xf numFmtId="168" fontId="0" fillId="5" borderId="0" xfId="9" applyNumberFormat="1" applyFont="1" applyFill="1" applyBorder="1"/>
    <xf numFmtId="168" fontId="41" fillId="0" borderId="0" xfId="9" applyNumberFormat="1" applyFont="1"/>
    <xf numFmtId="168" fontId="41" fillId="0" borderId="0" xfId="9" applyNumberFormat="1" applyFont="1" applyFill="1"/>
    <xf numFmtId="168" fontId="27" fillId="0" borderId="0" xfId="9" applyNumberFormat="1" applyFont="1"/>
    <xf numFmtId="168" fontId="41" fillId="0" borderId="13" xfId="9" applyNumberFormat="1" applyFont="1" applyBorder="1"/>
    <xf numFmtId="168" fontId="41" fillId="0" borderId="13" xfId="9" applyNumberFormat="1" applyFont="1" applyFill="1" applyBorder="1"/>
    <xf numFmtId="168" fontId="27" fillId="0" borderId="22" xfId="9" applyNumberFormat="1" applyFont="1" applyBorder="1"/>
    <xf numFmtId="168" fontId="27" fillId="5" borderId="22" xfId="9" applyNumberFormat="1" applyFont="1" applyFill="1" applyBorder="1"/>
    <xf numFmtId="168" fontId="27" fillId="0" borderId="0" xfId="9" applyNumberFormat="1" applyFont="1" applyAlignment="1">
      <alignment horizontal="center" vertical="center"/>
    </xf>
    <xf numFmtId="168" fontId="27" fillId="0" borderId="27" xfId="9" applyNumberFormat="1" applyFont="1" applyBorder="1" applyAlignment="1">
      <alignment horizontal="center" vertical="center"/>
    </xf>
    <xf numFmtId="168" fontId="27" fillId="0" borderId="6" xfId="9" applyNumberFormat="1" applyFont="1" applyBorder="1" applyAlignment="1">
      <alignment horizontal="center" vertical="center"/>
    </xf>
    <xf numFmtId="168" fontId="42" fillId="0" borderId="6" xfId="9" applyNumberFormat="1" applyFont="1" applyBorder="1" applyAlignment="1">
      <alignment horizontal="center" vertical="center"/>
    </xf>
    <xf numFmtId="168" fontId="27" fillId="0" borderId="6" xfId="9" applyNumberFormat="1" applyFont="1" applyFill="1" applyBorder="1" applyAlignment="1">
      <alignment horizontal="center" vertical="center"/>
    </xf>
    <xf numFmtId="168" fontId="42" fillId="0" borderId="6" xfId="9" applyNumberFormat="1" applyFont="1" applyFill="1" applyBorder="1" applyAlignment="1">
      <alignment horizontal="center" vertical="center"/>
    </xf>
    <xf numFmtId="168" fontId="27" fillId="5" borderId="6" xfId="9" applyNumberFormat="1" applyFont="1" applyFill="1" applyBorder="1" applyAlignment="1">
      <alignment horizontal="center" vertical="center"/>
    </xf>
    <xf numFmtId="168" fontId="27" fillId="0" borderId="30" xfId="9" applyNumberFormat="1" applyFont="1" applyBorder="1" applyAlignment="1">
      <alignment horizontal="center" vertical="center"/>
    </xf>
    <xf numFmtId="168" fontId="27" fillId="0" borderId="0" xfId="9" applyNumberFormat="1" applyFont="1" applyBorder="1" applyAlignment="1">
      <alignment horizontal="center" vertical="center"/>
    </xf>
    <xf numFmtId="168" fontId="42" fillId="0" borderId="0" xfId="9" applyNumberFormat="1" applyFont="1" applyBorder="1" applyAlignment="1">
      <alignment horizontal="center" vertical="center"/>
    </xf>
    <xf numFmtId="168" fontId="27" fillId="0" borderId="0" xfId="9" applyNumberFormat="1" applyFont="1" applyFill="1" applyBorder="1" applyAlignment="1">
      <alignment horizontal="center" vertical="center"/>
    </xf>
    <xf numFmtId="168" fontId="42" fillId="0" borderId="0" xfId="9" applyNumberFormat="1" applyFont="1" applyFill="1" applyBorder="1" applyAlignment="1">
      <alignment horizontal="center" vertical="center"/>
    </xf>
    <xf numFmtId="168" fontId="27" fillId="5" borderId="0" xfId="9" applyNumberFormat="1" applyFont="1" applyFill="1" applyBorder="1" applyAlignment="1">
      <alignment horizontal="center" vertical="center"/>
    </xf>
    <xf numFmtId="168" fontId="27" fillId="0" borderId="30" xfId="9" applyNumberFormat="1" applyFont="1" applyBorder="1"/>
    <xf numFmtId="168" fontId="41" fillId="0" borderId="0" xfId="9" applyNumberFormat="1" applyFont="1" applyBorder="1"/>
    <xf numFmtId="168" fontId="41" fillId="0" borderId="0" xfId="9" applyNumberFormat="1" applyFont="1" applyFill="1" applyBorder="1"/>
    <xf numFmtId="168" fontId="0" fillId="0" borderId="30" xfId="9" applyNumberFormat="1" applyFont="1" applyBorder="1"/>
    <xf numFmtId="168" fontId="0" fillId="0" borderId="39" xfId="9" applyNumberFormat="1" applyFont="1" applyBorder="1"/>
    <xf numFmtId="168" fontId="27" fillId="0" borderId="0" xfId="9" applyNumberFormat="1" applyFont="1" applyBorder="1"/>
    <xf numFmtId="168" fontId="42" fillId="0" borderId="0" xfId="9" applyNumberFormat="1" applyFont="1" applyBorder="1"/>
    <xf numFmtId="168" fontId="27" fillId="0" borderId="0" xfId="9" applyNumberFormat="1" applyFont="1" applyFill="1" applyBorder="1"/>
    <xf numFmtId="168" fontId="42" fillId="0" borderId="0" xfId="9" applyNumberFormat="1" applyFont="1" applyFill="1" applyBorder="1"/>
    <xf numFmtId="168" fontId="27" fillId="5" borderId="0" xfId="9" applyNumberFormat="1" applyFont="1" applyFill="1" applyBorder="1"/>
    <xf numFmtId="168" fontId="27" fillId="0" borderId="60" xfId="9" applyNumberFormat="1" applyFont="1" applyBorder="1"/>
    <xf numFmtId="168" fontId="0" fillId="0" borderId="50" xfId="9" applyNumberFormat="1" applyFont="1" applyBorder="1"/>
    <xf numFmtId="168" fontId="42" fillId="5" borderId="0" xfId="9" applyNumberFormat="1" applyFont="1" applyFill="1" applyBorder="1"/>
    <xf numFmtId="169" fontId="42" fillId="0" borderId="32" xfId="4" applyNumberFormat="1" applyFont="1" applyFill="1" applyBorder="1"/>
    <xf numFmtId="168" fontId="0" fillId="0" borderId="35" xfId="9" applyNumberFormat="1" applyFont="1" applyBorder="1"/>
    <xf numFmtId="168" fontId="0" fillId="0" borderId="3" xfId="9" applyNumberFormat="1" applyFont="1" applyBorder="1"/>
    <xf numFmtId="168" fontId="41" fillId="0" borderId="3" xfId="9" applyNumberFormat="1" applyFont="1" applyBorder="1"/>
    <xf numFmtId="168" fontId="0" fillId="0" borderId="3" xfId="9" applyNumberFormat="1" applyFont="1" applyFill="1" applyBorder="1"/>
    <xf numFmtId="168" fontId="41" fillId="0" borderId="3" xfId="9" applyNumberFormat="1" applyFont="1" applyFill="1" applyBorder="1"/>
    <xf numFmtId="168" fontId="0" fillId="5" borderId="3" xfId="9" applyNumberFormat="1" applyFont="1" applyFill="1" applyBorder="1"/>
    <xf numFmtId="169" fontId="42" fillId="0" borderId="29" xfId="4" applyNumberFormat="1" applyFont="1" applyFill="1" applyBorder="1" applyAlignment="1">
      <alignment horizontal="center" vertical="center"/>
    </xf>
    <xf numFmtId="169" fontId="42" fillId="0" borderId="32" xfId="4" applyNumberFormat="1" applyFont="1" applyFill="1" applyBorder="1" applyAlignment="1">
      <alignment horizontal="center" vertical="center"/>
    </xf>
    <xf numFmtId="169" fontId="41" fillId="0" borderId="32" xfId="4" applyNumberFormat="1" applyFont="1" applyFill="1" applyBorder="1"/>
    <xf numFmtId="169" fontId="41" fillId="0" borderId="41" xfId="4" applyNumberFormat="1" applyFont="1" applyFill="1" applyBorder="1"/>
    <xf numFmtId="169" fontId="42" fillId="0" borderId="61" xfId="4" applyNumberFormat="1" applyFont="1" applyFill="1" applyBorder="1"/>
    <xf numFmtId="169" fontId="41" fillId="0" borderId="62" xfId="4" applyNumberFormat="1" applyFont="1" applyFill="1" applyBorder="1"/>
    <xf numFmtId="169" fontId="41" fillId="0" borderId="33" xfId="4" applyNumberFormat="1" applyFont="1" applyFill="1" applyBorder="1"/>
    <xf numFmtId="169" fontId="41" fillId="0" borderId="0" xfId="4" applyNumberFormat="1" applyFont="1" applyFill="1"/>
    <xf numFmtId="166" fontId="34" fillId="0" borderId="29" xfId="2" applyNumberFormat="1" applyFont="1" applyBorder="1"/>
    <xf numFmtId="166" fontId="34" fillId="0" borderId="52" xfId="2" applyNumberFormat="1" applyFont="1" applyBorder="1"/>
    <xf numFmtId="166" fontId="34" fillId="0" borderId="34" xfId="2" applyNumberFormat="1" applyFont="1" applyBorder="1"/>
    <xf numFmtId="168" fontId="43" fillId="5" borderId="0" xfId="9" applyNumberFormat="1" applyFont="1" applyFill="1" applyBorder="1"/>
    <xf numFmtId="168" fontId="0" fillId="0" borderId="60" xfId="9" applyNumberFormat="1" applyFont="1" applyBorder="1"/>
    <xf numFmtId="168" fontId="0" fillId="0" borderId="22" xfId="9" applyNumberFormat="1" applyFont="1" applyBorder="1"/>
    <xf numFmtId="168" fontId="41" fillId="0" borderId="22" xfId="9" applyNumberFormat="1" applyFont="1" applyBorder="1"/>
    <xf numFmtId="168" fontId="0" fillId="5" borderId="22" xfId="9" applyNumberFormat="1" applyFont="1" applyFill="1" applyBorder="1"/>
    <xf numFmtId="169" fontId="41" fillId="0" borderId="61" xfId="4" applyNumberFormat="1" applyFont="1" applyBorder="1"/>
    <xf numFmtId="168" fontId="0" fillId="0" borderId="0" xfId="9" applyNumberFormat="1" applyFont="1" applyFill="1" applyAlignment="1">
      <alignment horizontal="center"/>
    </xf>
    <xf numFmtId="168" fontId="41" fillId="0" borderId="0" xfId="9" applyNumberFormat="1" applyFont="1" applyFill="1" applyAlignment="1">
      <alignment horizontal="center"/>
    </xf>
    <xf numFmtId="169" fontId="41" fillId="0" borderId="0" xfId="4" applyNumberFormat="1" applyFont="1" applyFill="1" applyAlignment="1">
      <alignment horizontal="center"/>
    </xf>
    <xf numFmtId="168" fontId="27" fillId="0" borderId="26" xfId="9" applyNumberFormat="1" applyFont="1" applyBorder="1" applyAlignment="1">
      <alignment horizontal="center" vertical="center"/>
    </xf>
    <xf numFmtId="168" fontId="27" fillId="0" borderId="18" xfId="9" applyNumberFormat="1" applyFont="1" applyBorder="1" applyAlignment="1">
      <alignment horizontal="center" vertical="center"/>
    </xf>
    <xf numFmtId="168" fontId="0" fillId="0" borderId="18" xfId="9" applyNumberFormat="1" applyFont="1" applyBorder="1"/>
    <xf numFmtId="168" fontId="0" fillId="0" borderId="40" xfId="9" applyNumberFormat="1" applyFont="1" applyBorder="1"/>
    <xf numFmtId="168" fontId="27" fillId="0" borderId="18" xfId="9" applyNumberFormat="1" applyFont="1" applyBorder="1"/>
    <xf numFmtId="168" fontId="0" fillId="0" borderId="21" xfId="9" applyNumberFormat="1" applyFont="1" applyBorder="1"/>
    <xf numFmtId="168" fontId="0" fillId="0" borderId="58" xfId="9" applyNumberFormat="1" applyFont="1" applyBorder="1"/>
    <xf numFmtId="168" fontId="0" fillId="0" borderId="19" xfId="9" applyNumberFormat="1" applyFont="1" applyBorder="1"/>
    <xf numFmtId="168" fontId="27" fillId="2" borderId="14" xfId="9" applyNumberFormat="1" applyFont="1" applyFill="1" applyBorder="1" applyAlignment="1">
      <alignment horizontal="center" vertical="center"/>
    </xf>
    <xf numFmtId="168" fontId="27" fillId="2" borderId="16" xfId="9" applyNumberFormat="1" applyFont="1" applyFill="1" applyBorder="1" applyAlignment="1">
      <alignment horizontal="center" vertical="center"/>
    </xf>
    <xf numFmtId="168" fontId="0" fillId="2" borderId="16" xfId="9" applyNumberFormat="1" applyFont="1" applyFill="1" applyBorder="1"/>
    <xf numFmtId="168" fontId="0" fillId="2" borderId="38" xfId="9" applyNumberFormat="1" applyFont="1" applyFill="1" applyBorder="1"/>
    <xf numFmtId="168" fontId="27" fillId="2" borderId="16" xfId="9" applyNumberFormat="1" applyFont="1" applyFill="1" applyBorder="1"/>
    <xf numFmtId="168" fontId="27" fillId="2" borderId="23" xfId="9" applyNumberFormat="1" applyFont="1" applyFill="1" applyBorder="1"/>
    <xf numFmtId="168" fontId="0" fillId="2" borderId="23" xfId="9" applyNumberFormat="1" applyFont="1" applyFill="1" applyBorder="1"/>
    <xf numFmtId="168" fontId="0" fillId="2" borderId="63" xfId="9" applyNumberFormat="1" applyFont="1" applyFill="1" applyBorder="1"/>
    <xf numFmtId="168" fontId="0" fillId="0" borderId="0" xfId="9" applyNumberFormat="1" applyFont="1" applyAlignment="1">
      <alignment horizontal="center"/>
    </xf>
    <xf numFmtId="168" fontId="2" fillId="0" borderId="0" xfId="9" applyNumberFormat="1" applyFont="1"/>
    <xf numFmtId="168" fontId="20" fillId="0" borderId="0" xfId="9" applyNumberFormat="1" applyFont="1" applyAlignment="1">
      <alignment horizontal="center" vertical="center"/>
    </xf>
    <xf numFmtId="168" fontId="20" fillId="0" borderId="0" xfId="9" applyNumberFormat="1" applyFont="1"/>
    <xf numFmtId="168" fontId="2" fillId="0" borderId="0" xfId="9" applyNumberFormat="1" applyFont="1" applyBorder="1"/>
    <xf numFmtId="168" fontId="44" fillId="0" borderId="0" xfId="9" applyNumberFormat="1" applyFont="1" applyFill="1" applyAlignment="1">
      <alignment horizontal="center"/>
    </xf>
    <xf numFmtId="168" fontId="27" fillId="0" borderId="0" xfId="9" applyNumberFormat="1" applyFont="1" applyFill="1" applyAlignment="1">
      <alignment horizontal="center"/>
    </xf>
    <xf numFmtId="49" fontId="33" fillId="0" borderId="13" xfId="0" applyNumberFormat="1" applyFont="1" applyBorder="1"/>
    <xf numFmtId="49" fontId="33" fillId="0" borderId="38" xfId="0" applyNumberFormat="1" applyFont="1" applyBorder="1"/>
    <xf numFmtId="49" fontId="34" fillId="0" borderId="64" xfId="0" applyNumberFormat="1" applyFont="1" applyBorder="1"/>
    <xf numFmtId="49" fontId="34" fillId="0" borderId="3" xfId="0" applyNumberFormat="1" applyFont="1" applyBorder="1"/>
    <xf numFmtId="0" fontId="20" fillId="0" borderId="3" xfId="0" applyFont="1" applyBorder="1"/>
    <xf numFmtId="49" fontId="34" fillId="0" borderId="25" xfId="0" applyNumberFormat="1" applyFont="1" applyBorder="1"/>
    <xf numFmtId="49" fontId="33" fillId="0" borderId="3" xfId="0" applyNumberFormat="1" applyFont="1" applyBorder="1"/>
    <xf numFmtId="0" fontId="33" fillId="0" borderId="25" xfId="0" applyFont="1" applyBorder="1"/>
    <xf numFmtId="0" fontId="33" fillId="0" borderId="0" xfId="0" applyFont="1" applyAlignment="1">
      <alignment horizontal="left" vertical="top" wrapText="1"/>
    </xf>
    <xf numFmtId="0" fontId="31" fillId="0" borderId="30" xfId="0" applyFont="1" applyBorder="1" applyAlignment="1">
      <alignment horizontal="left"/>
    </xf>
    <xf numFmtId="168" fontId="31" fillId="0" borderId="30" xfId="9" applyNumberFormat="1" applyFont="1" applyBorder="1"/>
    <xf numFmtId="168" fontId="9" fillId="0" borderId="30" xfId="9" applyNumberFormat="1" applyFont="1" applyBorder="1"/>
    <xf numFmtId="168" fontId="9" fillId="0" borderId="39" xfId="9" applyNumberFormat="1" applyFont="1" applyBorder="1"/>
    <xf numFmtId="166" fontId="9" fillId="5" borderId="0" xfId="2" applyNumberFormat="1" applyFont="1" applyFill="1" applyBorder="1"/>
    <xf numFmtId="166" fontId="9" fillId="5" borderId="46" xfId="2" applyNumberFormat="1" applyFont="1" applyFill="1" applyBorder="1"/>
    <xf numFmtId="166" fontId="33" fillId="0" borderId="0" xfId="2" applyNumberFormat="1" applyFont="1" applyFill="1" applyBorder="1"/>
    <xf numFmtId="41" fontId="31" fillId="5" borderId="46" xfId="0" applyNumberFormat="1" applyFont="1" applyFill="1" applyBorder="1"/>
    <xf numFmtId="169" fontId="0" fillId="0" borderId="0" xfId="4" applyNumberFormat="1" applyFont="1" applyFill="1"/>
    <xf numFmtId="169" fontId="0" fillId="0" borderId="0" xfId="4" applyNumberFormat="1" applyFont="1" applyFill="1" applyAlignment="1">
      <alignment horizontal="center"/>
    </xf>
    <xf numFmtId="169" fontId="27" fillId="0" borderId="6" xfId="4" applyNumberFormat="1" applyFont="1" applyBorder="1" applyAlignment="1">
      <alignment horizontal="center" vertical="center"/>
    </xf>
    <xf numFmtId="169" fontId="27" fillId="0" borderId="0" xfId="4" applyNumberFormat="1" applyFont="1" applyBorder="1" applyAlignment="1">
      <alignment horizontal="center" vertical="center"/>
    </xf>
    <xf numFmtId="169" fontId="0" fillId="0" borderId="0" xfId="4" applyNumberFormat="1" applyFont="1" applyBorder="1"/>
    <xf numFmtId="169" fontId="0" fillId="0" borderId="13" xfId="4" applyNumberFormat="1" applyFont="1" applyBorder="1"/>
    <xf numFmtId="169" fontId="27" fillId="0" borderId="0" xfId="4" applyNumberFormat="1" applyFont="1" applyBorder="1"/>
    <xf numFmtId="169" fontId="27" fillId="0" borderId="22" xfId="4" applyNumberFormat="1" applyFont="1" applyBorder="1"/>
    <xf numFmtId="169" fontId="0" fillId="0" borderId="22" xfId="4" applyNumberFormat="1" applyFont="1" applyBorder="1"/>
    <xf numFmtId="169" fontId="0" fillId="0" borderId="59" xfId="4" applyNumberFormat="1" applyFont="1" applyBorder="1"/>
    <xf numFmtId="169" fontId="0" fillId="0" borderId="3" xfId="4" applyNumberFormat="1" applyFont="1" applyBorder="1"/>
    <xf numFmtId="169" fontId="0" fillId="0" borderId="0" xfId="4" applyNumberFormat="1" applyFont="1"/>
    <xf numFmtId="168" fontId="1" fillId="0" borderId="0" xfId="9" applyNumberFormat="1" applyFont="1"/>
    <xf numFmtId="10" fontId="3" fillId="0" borderId="0" xfId="4" applyNumberFormat="1" applyFont="1"/>
    <xf numFmtId="166" fontId="33" fillId="0" borderId="32" xfId="2" applyNumberFormat="1" applyFont="1" applyBorder="1"/>
    <xf numFmtId="166" fontId="31" fillId="0" borderId="0" xfId="2" applyNumberFormat="1" applyFont="1" applyBorder="1"/>
    <xf numFmtId="0" fontId="29" fillId="0" borderId="30" xfId="0" applyFont="1" applyBorder="1"/>
    <xf numFmtId="41" fontId="29" fillId="3" borderId="42" xfId="0" applyNumberFormat="1" applyFont="1" applyFill="1" applyBorder="1" applyAlignment="1">
      <alignment horizontal="center"/>
    </xf>
    <xf numFmtId="41" fontId="29" fillId="0" borderId="42" xfId="0" applyNumberFormat="1" applyFont="1" applyBorder="1" applyAlignment="1">
      <alignment horizontal="center"/>
    </xf>
    <xf numFmtId="169" fontId="41" fillId="0" borderId="32" xfId="4" quotePrefix="1" applyNumberFormat="1" applyFont="1" applyFill="1" applyBorder="1" applyAlignment="1">
      <alignment horizontal="right"/>
    </xf>
    <xf numFmtId="169" fontId="41" fillId="0" borderId="0" xfId="4" quotePrefix="1" applyNumberFormat="1" applyFont="1" applyFill="1" applyBorder="1" applyAlignment="1">
      <alignment horizontal="right"/>
    </xf>
    <xf numFmtId="168" fontId="0" fillId="2" borderId="25" xfId="9" applyNumberFormat="1" applyFont="1" applyFill="1" applyBorder="1"/>
    <xf numFmtId="166" fontId="9" fillId="0" borderId="33" xfId="2" applyNumberFormat="1" applyFont="1" applyBorder="1"/>
    <xf numFmtId="0" fontId="22" fillId="0" borderId="0" xfId="0" applyFont="1" applyAlignment="1">
      <alignment horizontal="center" vertical="center"/>
    </xf>
    <xf numFmtId="49" fontId="23" fillId="0" borderId="0" xfId="0" applyNumberFormat="1" applyFont="1" applyAlignment="1">
      <alignment horizontal="center"/>
    </xf>
    <xf numFmtId="49" fontId="24" fillId="0" borderId="0" xfId="0" applyNumberFormat="1" applyFont="1" applyAlignment="1">
      <alignment horizontal="center"/>
    </xf>
    <xf numFmtId="0" fontId="21" fillId="3" borderId="42"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166" fontId="3" fillId="0" borderId="22" xfId="2" applyNumberFormat="1" applyFont="1" applyBorder="1" applyAlignment="1">
      <alignment horizontal="center"/>
    </xf>
    <xf numFmtId="166" fontId="3" fillId="0" borderId="23" xfId="2" applyNumberFormat="1" applyFont="1" applyBorder="1" applyAlignment="1">
      <alignment horizontal="center"/>
    </xf>
    <xf numFmtId="166" fontId="3" fillId="0" borderId="21" xfId="2" applyNumberFormat="1" applyFont="1" applyBorder="1" applyAlignment="1">
      <alignment horizontal="center"/>
    </xf>
    <xf numFmtId="49" fontId="34" fillId="0" borderId="18" xfId="0" applyNumberFormat="1" applyFont="1" applyBorder="1" applyAlignment="1">
      <alignment horizontal="left"/>
    </xf>
    <xf numFmtId="49" fontId="34" fillId="0" borderId="0" xfId="0" applyNumberFormat="1" applyFont="1" applyAlignment="1">
      <alignment horizontal="left"/>
    </xf>
    <xf numFmtId="49" fontId="34" fillId="0" borderId="16" xfId="0" applyNumberFormat="1" applyFont="1" applyBorder="1" applyAlignment="1">
      <alignment horizontal="left"/>
    </xf>
    <xf numFmtId="49" fontId="34" fillId="0" borderId="19" xfId="0" applyNumberFormat="1" applyFont="1" applyBorder="1" applyAlignment="1">
      <alignment horizontal="center"/>
    </xf>
    <xf numFmtId="49" fontId="34" fillId="0" borderId="3" xfId="0" applyNumberFormat="1" applyFont="1" applyBorder="1" applyAlignment="1">
      <alignment horizontal="center"/>
    </xf>
    <xf numFmtId="49" fontId="34" fillId="0" borderId="25" xfId="0" applyNumberFormat="1" applyFont="1" applyBorder="1" applyAlignment="1">
      <alignment horizontal="center"/>
    </xf>
    <xf numFmtId="0" fontId="34" fillId="0" borderId="21" xfId="0" applyFont="1" applyBorder="1" applyAlignment="1">
      <alignment horizontal="center"/>
    </xf>
    <xf numFmtId="0" fontId="34" fillId="0" borderId="22" xfId="0" applyFont="1" applyBorder="1" applyAlignment="1">
      <alignment horizontal="center"/>
    </xf>
    <xf numFmtId="0" fontId="34" fillId="0" borderId="23" xfId="0" applyFont="1" applyBorder="1" applyAlignment="1">
      <alignment horizontal="center"/>
    </xf>
    <xf numFmtId="166" fontId="13" fillId="0" borderId="28" xfId="2" applyNumberFormat="1" applyFont="1" applyBorder="1" applyAlignment="1">
      <alignment horizontal="center"/>
    </xf>
    <xf numFmtId="166" fontId="13" fillId="0" borderId="36" xfId="2" applyNumberFormat="1" applyFont="1" applyBorder="1" applyAlignment="1">
      <alignment horizontal="center"/>
    </xf>
    <xf numFmtId="166" fontId="13" fillId="0" borderId="37" xfId="2" applyNumberFormat="1" applyFont="1" applyBorder="1" applyAlignment="1">
      <alignment horizontal="center"/>
    </xf>
    <xf numFmtId="166" fontId="6" fillId="0" borderId="21" xfId="2" applyNumberFormat="1" applyFont="1" applyBorder="1" applyAlignment="1">
      <alignment horizontal="center"/>
    </xf>
    <xf numFmtId="166" fontId="6" fillId="0" borderId="22" xfId="2" applyNumberFormat="1" applyFont="1" applyBorder="1" applyAlignment="1">
      <alignment horizontal="center"/>
    </xf>
    <xf numFmtId="166" fontId="6" fillId="0" borderId="23" xfId="2" applyNumberFormat="1" applyFont="1" applyBorder="1" applyAlignment="1">
      <alignment horizontal="center"/>
    </xf>
  </cellXfs>
  <cellStyles count="12">
    <cellStyle name="Comma" xfId="2" builtinId="3"/>
    <cellStyle name="Comma 2" xfId="7" xr:uid="{00000000-0005-0000-0000-000001000000}"/>
    <cellStyle name="Comma 2 2" xfId="11" xr:uid="{00000000-0005-0000-0000-000002000000}"/>
    <cellStyle name="Currency 2" xfId="5" xr:uid="{00000000-0005-0000-0000-000003000000}"/>
    <cellStyle name="Currency 2 2" xfId="9" xr:uid="{00000000-0005-0000-0000-000004000000}"/>
    <cellStyle name="Normal" xfId="0" builtinId="0"/>
    <cellStyle name="Normal 2" xfId="1" xr:uid="{00000000-0005-0000-0000-000006000000}"/>
    <cellStyle name="Normal 3" xfId="3" xr:uid="{00000000-0005-0000-0000-000007000000}"/>
    <cellStyle name="Normal 4" xfId="8" xr:uid="{00000000-0005-0000-0000-000008000000}"/>
    <cellStyle name="Percent" xfId="4" builtinId="5"/>
    <cellStyle name="Percent 2" xfId="6" xr:uid="{00000000-0005-0000-0000-00000A000000}"/>
    <cellStyle name="Percent 2 2"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5</xdr:col>
      <xdr:colOff>156612</xdr:colOff>
      <xdr:row>3</xdr:row>
      <xdr:rowOff>220855</xdr:rowOff>
    </xdr:from>
    <xdr:to>
      <xdr:col>6</xdr:col>
      <xdr:colOff>3154573</xdr:colOff>
      <xdr:row>57</xdr:row>
      <xdr:rowOff>181175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103409" y="876282"/>
          <a:ext cx="3179136" cy="994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t>NOTES:    </a:t>
          </a:r>
        </a:p>
        <a:p>
          <a:pPr algn="l"/>
          <a:endParaRPr lang="en-US" sz="1000" b="1"/>
        </a:p>
        <a:p>
          <a:pPr algn="l"/>
          <a:r>
            <a:rPr lang="en-US" sz="1000"/>
            <a:t>*</a:t>
          </a:r>
          <a:r>
            <a:rPr lang="en-US" sz="1000" baseline="0"/>
            <a:t> We manage our finances using four Funds.  Each fund has inflows (Sources) and outflows (Uses) during the year.  The total balance of all four funds at any time equals the total amount of cash we hold in the bank.  (USBank and Kitsap Bank.)</a:t>
          </a:r>
        </a:p>
        <a:p>
          <a:pPr algn="l"/>
          <a:endParaRPr lang="en-US" sz="1000" baseline="0"/>
        </a:p>
        <a:p>
          <a:pPr algn="l"/>
          <a:r>
            <a:rPr lang="en-US" sz="1000" baseline="0"/>
            <a:t>* The</a:t>
          </a:r>
          <a:r>
            <a:rPr lang="en-US" sz="1000" b="1" baseline="0"/>
            <a:t> Operating Fund</a:t>
          </a:r>
          <a:r>
            <a:rPr lang="en-US" sz="1000" b="0" baseline="0"/>
            <a:t> is used to </a:t>
          </a:r>
          <a:r>
            <a:rPr lang="en-US" sz="1000" baseline="0">
              <a:solidFill>
                <a:schemeClr val="dk1"/>
              </a:solidFill>
              <a:latin typeface="+mn-lt"/>
              <a:ea typeface="+mn-ea"/>
              <a:cs typeface="+mn-cs"/>
            </a:rPr>
            <a:t>run the business on a day-to-day basis.  This fund receives</a:t>
          </a:r>
          <a:r>
            <a:rPr lang="en-US" sz="1000" baseline="0"/>
            <a:t> income from the Base Rate and Water Usage billings plus excise tax.  It pays out all operating expenses. We budget to be near break-even in this fund, after transfers to the System Replacement fund.  </a:t>
          </a:r>
        </a:p>
        <a:p>
          <a:pPr algn="l"/>
          <a:endParaRPr lang="en-US" sz="1000" baseline="0"/>
        </a:p>
        <a:p>
          <a:pPr algn="l"/>
          <a:r>
            <a:rPr lang="en-US" sz="1000" baseline="0"/>
            <a:t>Our Budgeted Billings increase to meet higher costs due to inflation pressures on wages, energy and chemicals. Partly boosted by costs to run the Filtration Plant.  Transfer to System Replacements remains $40,000 before increasing in coming years.</a:t>
          </a:r>
        </a:p>
        <a:p>
          <a:pPr algn="l"/>
          <a:endParaRPr lang="en-US" sz="1000" baseline="0"/>
        </a:p>
        <a:p>
          <a:pPr algn="l"/>
          <a:r>
            <a:rPr lang="en-US" sz="1000" baseline="0"/>
            <a:t>* </a:t>
          </a:r>
          <a:r>
            <a:rPr lang="en-US" sz="1000" b="1" baseline="0"/>
            <a:t>System Replacement Fund </a:t>
          </a:r>
          <a:r>
            <a:rPr lang="en-US" sz="1000" baseline="0"/>
            <a:t>holds our cash reserves for projects that replace </a:t>
          </a:r>
          <a:r>
            <a:rPr lang="en-US" sz="1000" u="sng" baseline="0"/>
            <a:t>existing</a:t>
          </a:r>
          <a:r>
            <a:rPr lang="en-US" sz="1000" u="none" baseline="0"/>
            <a:t> system capacity.   We always budget to replace old meters ($3k) and for unexpected replacements ($9k).  </a:t>
          </a:r>
        </a:p>
        <a:p>
          <a:pPr algn="l"/>
          <a:endParaRPr lang="en-US" sz="1000" u="none" baseline="0"/>
        </a:p>
        <a:p>
          <a:pPr algn="l"/>
          <a:r>
            <a:rPr lang="en-US" sz="1000" u="none" baseline="0"/>
            <a:t>An additional Source of funds is a Loan we received from the State of WA for "Pre-Construction" costs on the Sandy Shores PRV Relocation project. (2-year total: $100,000)</a:t>
          </a:r>
        </a:p>
        <a:p>
          <a:pPr algn="l"/>
          <a:endParaRPr lang="en-US" sz="1000" u="none" baseline="0"/>
        </a:p>
        <a:p>
          <a:pPr algn="l"/>
          <a:r>
            <a:rPr lang="en-US" sz="1000" u="none" baseline="0"/>
            <a:t>*  </a:t>
          </a:r>
          <a:r>
            <a:rPr lang="en-US" sz="1000" b="1" u="none" baseline="0"/>
            <a:t>Capital Improvement Fund</a:t>
          </a:r>
          <a:r>
            <a:rPr lang="en-US" sz="1000" b="0" u="none" baseline="0"/>
            <a:t> holds our reserves for projects where we </a:t>
          </a:r>
          <a:r>
            <a:rPr lang="en-US" sz="1000" b="0" u="sng" baseline="0"/>
            <a:t>expand/upgrade</a:t>
          </a:r>
          <a:r>
            <a:rPr lang="en-US" sz="1000" b="0" u="none" baseline="0"/>
            <a:t> our system.  This fund receives the income from the Capital Charges we all pay and 1/2 of the base charge paid by Reserve Shareholders.   It also receives funds from net sales of memberships (water shares) and fees for installations (less costs) but we do not budget for this income.</a:t>
          </a:r>
        </a:p>
        <a:p>
          <a:pPr algn="l"/>
          <a:endParaRPr lang="en-US" sz="1000" b="0" u="none" baseline="0"/>
        </a:p>
        <a:p>
          <a:pPr algn="l"/>
          <a:r>
            <a:rPr lang="en-US" sz="1000" b="0" u="none" baseline="0"/>
            <a:t>This year we plan to begin a project to add upto 10 new, deeper wells at Dockton Springs -- replacing our shallow wells.  The state is encouraging this as a longterm improvment to our water quality and sustainability.</a:t>
          </a:r>
        </a:p>
        <a:p>
          <a:pPr algn="l"/>
          <a:endParaRPr lang="en-US" sz="1000" baseline="0"/>
        </a:p>
        <a:p>
          <a:pPr algn="l"/>
          <a:r>
            <a:rPr lang="en-US" sz="1000" baseline="0"/>
            <a:t>* </a:t>
          </a:r>
          <a:r>
            <a:rPr lang="en-US" sz="1000" b="1" baseline="0">
              <a:solidFill>
                <a:schemeClr val="dk1"/>
              </a:solidFill>
              <a:latin typeface="+mn-lt"/>
              <a:ea typeface="+mn-ea"/>
              <a:cs typeface="+mn-cs"/>
            </a:rPr>
            <a:t>Contingency Reserves Fund </a:t>
          </a:r>
          <a:r>
            <a:rPr lang="en-US" sz="1000" baseline="0"/>
            <a:t>are available to us for Emergencies. We put our Covid related EID Loan in this fund.  We pay interest-only on the EID loan and have chosen to not pay it off at this time.  </a:t>
          </a:r>
        </a:p>
        <a:p>
          <a:pPr algn="l"/>
          <a:endParaRPr lang="en-US" sz="1000" baseline="0"/>
        </a:p>
        <a:p>
          <a:pPr algn="l"/>
          <a:r>
            <a:rPr lang="en-US" sz="1000"/>
            <a:t>* </a:t>
          </a:r>
          <a:r>
            <a:rPr lang="en-US" sz="1000" b="1"/>
            <a:t>Total</a:t>
          </a:r>
          <a:r>
            <a:rPr lang="en-US" sz="1000" b="1" baseline="0"/>
            <a:t> Funds </a:t>
          </a:r>
          <a:r>
            <a:rPr lang="en-US" sz="1000" b="0" baseline="0"/>
            <a:t>is t</a:t>
          </a:r>
          <a:r>
            <a:rPr lang="en-US" sz="1000"/>
            <a:t>he </a:t>
          </a:r>
          <a:r>
            <a:rPr lang="en-US" sz="1000" baseline="0"/>
            <a:t>Ending Balance of all four funds. </a:t>
          </a:r>
        </a:p>
        <a:p>
          <a:pPr algn="l"/>
          <a:endParaRPr lang="en-US" sz="1000" baseline="0"/>
        </a:p>
        <a:p>
          <a:pPr algn="l"/>
          <a:r>
            <a:rPr lang="en-US" sz="1000" baseline="0"/>
            <a:t>As you can see from last year's Budget, through Forecasted results and then into this new Budget we are rebuilding our Reserves since completing the Filtration Plant.   Our new billing rates this coming year and in the future are designed to rebuild these Reserves to a stronger position while funding essential infrastructure improvements.</a:t>
          </a:r>
        </a:p>
        <a:p>
          <a:pPr algn="l"/>
          <a:endParaRPr lang="en-US" sz="1000" baseline="0"/>
        </a:p>
        <a:p>
          <a:pPr algn="l"/>
          <a:r>
            <a:rPr lang="en-US" sz="1000" i="1" baseline="0"/>
            <a:t>For more details, visit the Financial Reports section of the "Documents" menu item on our website.  Otherwise, contact the Association's Treasurer:  Todd Currie, twcurrie@yahoo.com  206-696-1216</a:t>
          </a:r>
          <a:endParaRPr lang="en-US" sz="1000" i="1"/>
        </a:p>
      </xdr:txBody>
    </xdr:sp>
    <xdr:clientData/>
  </xdr:twoCellAnchor>
  <xdr:oneCellAnchor>
    <xdr:from>
      <xdr:col>11</xdr:col>
      <xdr:colOff>25149</xdr:colOff>
      <xdr:row>18</xdr:row>
      <xdr:rowOff>106882</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901535" y="3156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899160" cy="231361"/>
    <xdr:sp macro="" textlink="">
      <xdr:nvSpPr>
        <xdr:cNvPr id="2" name="FILTER"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2000000}"/>
            </a:ext>
          </a:extLst>
        </xdr:cNvPr>
        <xdr:cNvSpPr/>
      </xdr:nvSpPr>
      <xdr:spPr bwMode="auto">
        <a:xfrm>
          <a:off x="624840" y="365760"/>
          <a:ext cx="899160" cy="2313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xdr:row>
      <xdr:rowOff>0</xdr:rowOff>
    </xdr:from>
    <xdr:ext cx="899160" cy="231361"/>
    <xdr:sp macro="" textlink="">
      <xdr:nvSpPr>
        <xdr:cNvPr id="3" name="HEADER" hidden="1">
          <a:extLst>
            <a:ext uri="{63B3BB69-23CF-44E3-9099-C40C66FF867C}">
              <a14:compatExt xmlns:a14="http://schemas.microsoft.com/office/drawing/2010/main" spid="_x0000_s5122"/>
            </a:ext>
            <a:ext uri="{FF2B5EF4-FFF2-40B4-BE49-F238E27FC236}">
              <a16:creationId xmlns:a16="http://schemas.microsoft.com/office/drawing/2014/main" id="{00000000-0008-0000-0300-000003000000}"/>
            </a:ext>
          </a:extLst>
        </xdr:cNvPr>
        <xdr:cNvSpPr/>
      </xdr:nvSpPr>
      <xdr:spPr bwMode="auto">
        <a:xfrm>
          <a:off x="624840" y="365760"/>
          <a:ext cx="899160" cy="2313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xdr:row>
      <xdr:rowOff>0</xdr:rowOff>
    </xdr:from>
    <xdr:ext cx="825500" cy="225011"/>
    <xdr:pic>
      <xdr:nvPicPr>
        <xdr:cNvPr id="4" name="FILTER" hidden="1">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365760"/>
          <a:ext cx="825500" cy="2250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2</xdr:row>
      <xdr:rowOff>0</xdr:rowOff>
    </xdr:from>
    <xdr:ext cx="825500" cy="225011"/>
    <xdr:pic>
      <xdr:nvPicPr>
        <xdr:cNvPr id="5" name="HEADER" hidden="1">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365760"/>
          <a:ext cx="825500" cy="2250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22529" name="FILTER"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22530" name="HEADER"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114300</xdr:colOff>
      <xdr:row>2</xdr:row>
      <xdr:rowOff>22871</xdr:rowOff>
    </xdr:to>
    <xdr:sp macro="" textlink="">
      <xdr:nvSpPr>
        <xdr:cNvPr id="2" name="FILTER" hidden="1">
          <a:extLst>
            <a:ext uri="{63B3BB69-23CF-44E3-9099-C40C66FF867C}">
              <a14:compatExt xmlns:a14="http://schemas.microsoft.com/office/drawing/2010/main" spid="_x0000_s1025"/>
            </a:ext>
            <a:ext uri="{FF2B5EF4-FFF2-40B4-BE49-F238E27FC236}">
              <a16:creationId xmlns:a16="http://schemas.microsoft.com/office/drawing/2014/main" id="{00000000-0008-0000-0500-000002000000}"/>
            </a:ext>
          </a:extLst>
        </xdr:cNvPr>
        <xdr:cNvSpPr/>
      </xdr:nvSpPr>
      <xdr:spPr bwMode="auto">
        <a:xfrm>
          <a:off x="0" y="0"/>
          <a:ext cx="952500" cy="2163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xdr:row>
      <xdr:rowOff>0</xdr:rowOff>
    </xdr:from>
    <xdr:to>
      <xdr:col>4</xdr:col>
      <xdr:colOff>114300</xdr:colOff>
      <xdr:row>2</xdr:row>
      <xdr:rowOff>22871</xdr:rowOff>
    </xdr:to>
    <xdr:sp macro="" textlink="">
      <xdr:nvSpPr>
        <xdr:cNvPr id="3" name="HEADER" hidden="1">
          <a:extLst>
            <a:ext uri="{63B3BB69-23CF-44E3-9099-C40C66FF867C}">
              <a14:compatExt xmlns:a14="http://schemas.microsoft.com/office/drawing/2010/main" spid="_x0000_s1026"/>
            </a:ext>
            <a:ext uri="{FF2B5EF4-FFF2-40B4-BE49-F238E27FC236}">
              <a16:creationId xmlns:a16="http://schemas.microsoft.com/office/drawing/2014/main" id="{00000000-0008-0000-0500-000003000000}"/>
            </a:ext>
          </a:extLst>
        </xdr:cNvPr>
        <xdr:cNvSpPr/>
      </xdr:nvSpPr>
      <xdr:spPr bwMode="auto">
        <a:xfrm>
          <a:off x="0" y="0"/>
          <a:ext cx="952500" cy="2163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xdr:row>
      <xdr:rowOff>0</xdr:rowOff>
    </xdr:from>
    <xdr:to>
      <xdr:col>4</xdr:col>
      <xdr:colOff>76200</xdr:colOff>
      <xdr:row>2</xdr:row>
      <xdr:rowOff>24141</xdr:rowOff>
    </xdr:to>
    <xdr:pic>
      <xdr:nvPicPr>
        <xdr:cNvPr id="4" name="FILTER" hidden="1">
          <a:extLst>
            <a:ext uri="{FF2B5EF4-FFF2-40B4-BE49-F238E27FC236}">
              <a16:creationId xmlns:a16="http://schemas.microsoft.com/office/drawing/2014/main" id="{00000000-0008-0000-0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217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0</xdr:colOff>
      <xdr:row>1</xdr:row>
      <xdr:rowOff>0</xdr:rowOff>
    </xdr:from>
    <xdr:to>
      <xdr:col>4</xdr:col>
      <xdr:colOff>76200</xdr:colOff>
      <xdr:row>2</xdr:row>
      <xdr:rowOff>24141</xdr:rowOff>
    </xdr:to>
    <xdr:pic>
      <xdr:nvPicPr>
        <xdr:cNvPr id="5" name="HEADER" hidden="1">
          <a:extLst>
            <a:ext uri="{FF2B5EF4-FFF2-40B4-BE49-F238E27FC236}">
              <a16:creationId xmlns:a16="http://schemas.microsoft.com/office/drawing/2014/main" id="{00000000-0008-0000-0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14400" cy="217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0</xdr:rowOff>
    </xdr:from>
    <xdr:ext cx="899160" cy="231361"/>
    <xdr:sp macro="" textlink="">
      <xdr:nvSpPr>
        <xdr:cNvPr id="2" name="FILTER" hidden="1">
          <a:extLst>
            <a:ext uri="{63B3BB69-23CF-44E3-9099-C40C66FF867C}">
              <a14:compatExt xmlns:a14="http://schemas.microsoft.com/office/drawing/2010/main" spid="_x0000_s5121"/>
            </a:ext>
            <a:ext uri="{FF2B5EF4-FFF2-40B4-BE49-F238E27FC236}">
              <a16:creationId xmlns:a16="http://schemas.microsoft.com/office/drawing/2014/main" id="{00000000-0008-0000-0600-000002000000}"/>
            </a:ext>
          </a:extLst>
        </xdr:cNvPr>
        <xdr:cNvSpPr/>
      </xdr:nvSpPr>
      <xdr:spPr bwMode="auto">
        <a:xfrm>
          <a:off x="0" y="184150"/>
          <a:ext cx="899160" cy="2313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xdr:row>
      <xdr:rowOff>0</xdr:rowOff>
    </xdr:from>
    <xdr:ext cx="899160" cy="231361"/>
    <xdr:sp macro="" textlink="">
      <xdr:nvSpPr>
        <xdr:cNvPr id="3" name="HEADER" hidden="1">
          <a:extLst>
            <a:ext uri="{63B3BB69-23CF-44E3-9099-C40C66FF867C}">
              <a14:compatExt xmlns:a14="http://schemas.microsoft.com/office/drawing/2010/main" spid="_x0000_s5122"/>
            </a:ext>
            <a:ext uri="{FF2B5EF4-FFF2-40B4-BE49-F238E27FC236}">
              <a16:creationId xmlns:a16="http://schemas.microsoft.com/office/drawing/2014/main" id="{00000000-0008-0000-0600-000003000000}"/>
            </a:ext>
          </a:extLst>
        </xdr:cNvPr>
        <xdr:cNvSpPr/>
      </xdr:nvSpPr>
      <xdr:spPr bwMode="auto">
        <a:xfrm>
          <a:off x="0" y="184150"/>
          <a:ext cx="899160" cy="2313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xdr:row>
      <xdr:rowOff>0</xdr:rowOff>
    </xdr:from>
    <xdr:ext cx="825500" cy="225011"/>
    <xdr:pic>
      <xdr:nvPicPr>
        <xdr:cNvPr id="4" name="FILTER" hidden="1">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0"/>
          <a:ext cx="825500" cy="2250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oneCellAnchor>
    <xdr:from>
      <xdr:col>1</xdr:col>
      <xdr:colOff>0</xdr:colOff>
      <xdr:row>2</xdr:row>
      <xdr:rowOff>0</xdr:rowOff>
    </xdr:from>
    <xdr:ext cx="825500" cy="225011"/>
    <xdr:pic>
      <xdr:nvPicPr>
        <xdr:cNvPr id="5" name="HEADER" hidden="1">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150"/>
          <a:ext cx="825500" cy="2250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49153" name="FILTER" hidden="1">
              <a:extLst>
                <a:ext uri="{63B3BB69-23CF-44E3-9099-C40C66FF867C}">
                  <a14:compatExt spid="_x0000_s49153"/>
                </a:ext>
                <a:ext uri="{FF2B5EF4-FFF2-40B4-BE49-F238E27FC236}">
                  <a16:creationId xmlns:a16="http://schemas.microsoft.com/office/drawing/2014/main" id="{00000000-0008-0000-0700-000001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49154" name="HEADER" hidden="1">
              <a:extLst>
                <a:ext uri="{63B3BB69-23CF-44E3-9099-C40C66FF867C}">
                  <a14:compatExt spid="_x0000_s49154"/>
                </a:ext>
                <a:ext uri="{FF2B5EF4-FFF2-40B4-BE49-F238E27FC236}">
                  <a16:creationId xmlns:a16="http://schemas.microsoft.com/office/drawing/2014/main" id="{00000000-0008-0000-0700-000002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16385" name="FILTER"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16386" name="HEADER"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11265" name="FILTER"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11266" name="HEADER"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7169" name="FILTER"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7170" name="HEADER"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4097" name="FILTER" hidden="1">
              <a:extLst>
                <a:ext uri="{63B3BB69-23CF-44E3-9099-C40C66FF867C}">
                  <a14:compatExt spid="_x0000_s4097"/>
                </a:ext>
                <a:ext uri="{FF2B5EF4-FFF2-40B4-BE49-F238E27FC236}">
                  <a16:creationId xmlns:a16="http://schemas.microsoft.com/office/drawing/2014/main" id="{00000000-0008-0000-0B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4098" name="HEADER" hidden="1">
              <a:extLst>
                <a:ext uri="{63B3BB69-23CF-44E3-9099-C40C66FF867C}">
                  <a14:compatExt spid="_x0000_s4098"/>
                </a:ext>
                <a:ext uri="{FF2B5EF4-FFF2-40B4-BE49-F238E27FC236}">
                  <a16:creationId xmlns:a16="http://schemas.microsoft.com/office/drawing/2014/main" id="{00000000-0008-0000-0B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45057" name="FILTER" hidden="1">
              <a:extLst>
                <a:ext uri="{63B3BB69-23CF-44E3-9099-C40C66FF867C}">
                  <a14:compatExt spid="_x0000_s45057"/>
                </a:ext>
                <a:ext uri="{FF2B5EF4-FFF2-40B4-BE49-F238E27FC236}">
                  <a16:creationId xmlns:a16="http://schemas.microsoft.com/office/drawing/2014/main" id="{00000000-0008-0000-0C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76200</xdr:colOff>
          <xdr:row>1</xdr:row>
          <xdr:rowOff>38100</xdr:rowOff>
        </xdr:to>
        <xdr:sp macro="" textlink="">
          <xdr:nvSpPr>
            <xdr:cNvPr id="45058" name="HEADER" hidden="1">
              <a:extLst>
                <a:ext uri="{63B3BB69-23CF-44E3-9099-C40C66FF867C}">
                  <a14:compatExt spid="_x0000_s45058"/>
                </a:ext>
                <a:ext uri="{FF2B5EF4-FFF2-40B4-BE49-F238E27FC236}">
                  <a16:creationId xmlns:a16="http://schemas.microsoft.com/office/drawing/2014/main" id="{00000000-0008-0000-0C00-000002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31750</xdr:rowOff>
        </xdr:to>
        <xdr:sp macro="" textlink="">
          <xdr:nvSpPr>
            <xdr:cNvPr id="29697" name="FILTER" hidden="1">
              <a:extLst>
                <a:ext uri="{63B3BB69-23CF-44E3-9099-C40C66FF867C}">
                  <a14:compatExt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31750</xdr:rowOff>
        </xdr:to>
        <xdr:sp macro="" textlink="">
          <xdr:nvSpPr>
            <xdr:cNvPr id="29698" name="HEADER" hidden="1">
              <a:extLst>
                <a:ext uri="{63B3BB69-23CF-44E3-9099-C40C66FF867C}">
                  <a14:compatExt spid="_x0000_s29698"/>
                </a:ext>
                <a:ext uri="{FF2B5EF4-FFF2-40B4-BE49-F238E27FC236}">
                  <a16:creationId xmlns:a16="http://schemas.microsoft.com/office/drawing/2014/main" id="{00000000-0008-0000-0D00-000002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roved%20Budge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22 Summary Budget"/>
      <sheetName val="Operations Budget - 2022"/>
      <sheetName val="2021-22 Capital Budget"/>
      <sheetName val="2020-21 Trial-Adj'd Budget "/>
      <sheetName val="2020-21 Budget Presentation"/>
      <sheetName val="2020-21 Summary Budget "/>
      <sheetName val="2020-21 Operating Budget"/>
      <sheetName val="2020-21 Capital Budget"/>
      <sheetName val="2019-20 Summary Budget - Update"/>
      <sheetName val="2019-20 Summary Budget "/>
      <sheetName val="2019-20 Operating - New Format"/>
      <sheetName val="2019-20 Operating Proposed"/>
      <sheetName val="2019-20 Capital Proposed"/>
      <sheetName val="2018-19 Summary Budget"/>
      <sheetName val="2018-19 Operating Proposed"/>
      <sheetName val="2018-19 Capital Proposed"/>
      <sheetName val="2017-18 Summary Budget"/>
      <sheetName val="2017-18 Operating Proposed"/>
      <sheetName val="2017-18 Capital Proposed"/>
    </sheetNames>
    <sheetDataSet>
      <sheetData sheetId="0"/>
      <sheetData sheetId="1"/>
      <sheetData sheetId="2">
        <row r="8">
          <cell r="B8" t="str">
            <v xml:space="preserve">          Meter Replacement Program</v>
          </cell>
        </row>
        <row r="11">
          <cell r="B11" t="str">
            <v xml:space="preserve">          Replacements @ DWA Building</v>
          </cell>
        </row>
        <row r="13">
          <cell r="B13" t="str">
            <v xml:space="preserve">          Unscheduled Replacement Costs</v>
          </cell>
          <cell r="F13">
            <v>9000</v>
          </cell>
        </row>
        <row r="37">
          <cell r="B37" t="str">
            <v xml:space="preserve">          Unscheduled Improvement Costs</v>
          </cell>
        </row>
      </sheetData>
      <sheetData sheetId="3"/>
      <sheetData sheetId="4"/>
      <sheetData sheetId="5">
        <row r="57">
          <cell r="F57">
            <v>230422.42857142858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4.xml"/><Relationship Id="rId5" Type="http://schemas.openxmlformats.org/officeDocument/2006/relationships/image" Target="../media/image7.emf"/><Relationship Id="rId4" Type="http://schemas.openxmlformats.org/officeDocument/2006/relationships/control" Target="../activeX/activeX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ntrol" Target="../activeX/activeX6.xml"/><Relationship Id="rId5" Type="http://schemas.openxmlformats.org/officeDocument/2006/relationships/image" Target="../media/image9.emf"/><Relationship Id="rId4" Type="http://schemas.openxmlformats.org/officeDocument/2006/relationships/control" Target="../activeX/activeX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ntrol" Target="../activeX/activeX8.xml"/><Relationship Id="rId5" Type="http://schemas.openxmlformats.org/officeDocument/2006/relationships/image" Target="../media/image11.emf"/><Relationship Id="rId4" Type="http://schemas.openxmlformats.org/officeDocument/2006/relationships/control" Target="../activeX/activeX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4.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ntrol" Target="../activeX/activeX10.xml"/><Relationship Id="rId5" Type="http://schemas.openxmlformats.org/officeDocument/2006/relationships/image" Target="../media/image13.emf"/><Relationship Id="rId4" Type="http://schemas.openxmlformats.org/officeDocument/2006/relationships/control" Target="../activeX/activeX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6.emf"/><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ontrol" Target="../activeX/activeX12.xml"/><Relationship Id="rId5" Type="http://schemas.openxmlformats.org/officeDocument/2006/relationships/image" Target="../media/image15.emf"/><Relationship Id="rId4" Type="http://schemas.openxmlformats.org/officeDocument/2006/relationships/control" Target="../activeX/activeX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8.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ntrol" Target="../activeX/activeX14.xml"/><Relationship Id="rId5" Type="http://schemas.openxmlformats.org/officeDocument/2006/relationships/image" Target="../media/image17.emf"/><Relationship Id="rId4" Type="http://schemas.openxmlformats.org/officeDocument/2006/relationships/control" Target="../activeX/activeX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0.emf"/><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ntrol" Target="../activeX/activeX16.xml"/><Relationship Id="rId5" Type="http://schemas.openxmlformats.org/officeDocument/2006/relationships/image" Target="../media/image19.emf"/><Relationship Id="rId4" Type="http://schemas.openxmlformats.org/officeDocument/2006/relationships/control" Target="../activeX/activeX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G64"/>
  <sheetViews>
    <sheetView showGridLines="0" showRowColHeaders="0" zoomScale="137" zoomScaleNormal="100" workbookViewId="0">
      <selection activeCell="J17" sqref="J17"/>
    </sheetView>
  </sheetViews>
  <sheetFormatPr defaultRowHeight="14.5" x14ac:dyDescent="0.35"/>
  <cols>
    <col min="1" max="1" width="3.6328125" customWidth="1"/>
    <col min="2" max="2" width="51.08984375" customWidth="1"/>
    <col min="3" max="5" width="10.6328125" style="19" customWidth="1"/>
    <col min="6" max="6" width="2.6328125" style="119" customWidth="1"/>
    <col min="7" max="7" width="46" customWidth="1"/>
  </cols>
  <sheetData>
    <row r="1" spans="2:7" ht="30.9" customHeight="1" x14ac:dyDescent="0.35">
      <c r="B1" s="411" t="s">
        <v>193</v>
      </c>
      <c r="C1" s="411"/>
      <c r="D1" s="411"/>
      <c r="E1" s="411"/>
      <c r="F1" s="411"/>
      <c r="G1" s="411"/>
    </row>
    <row r="2" spans="2:7" ht="20" x14ac:dyDescent="0.4">
      <c r="B2" s="412" t="s">
        <v>375</v>
      </c>
      <c r="C2" s="412"/>
      <c r="D2" s="412"/>
      <c r="E2" s="412"/>
      <c r="F2" s="412"/>
      <c r="G2" s="412"/>
    </row>
    <row r="3" spans="2:7" ht="18" hidden="1" x14ac:dyDescent="0.4">
      <c r="B3" s="413" t="s">
        <v>194</v>
      </c>
      <c r="C3" s="413"/>
      <c r="D3" s="413"/>
      <c r="E3" s="413"/>
      <c r="F3" s="413"/>
      <c r="G3" s="413"/>
    </row>
    <row r="4" spans="2:7" ht="18.5" thickBot="1" x14ac:dyDescent="0.45">
      <c r="B4" s="117"/>
      <c r="C4" s="118"/>
      <c r="D4" s="118"/>
      <c r="E4" s="118"/>
    </row>
    <row r="5" spans="2:7" ht="18.5" thickBot="1" x14ac:dyDescent="0.4">
      <c r="B5" s="234" t="s">
        <v>264</v>
      </c>
      <c r="C5" s="414" t="s">
        <v>355</v>
      </c>
      <c r="D5" s="414" t="s">
        <v>359</v>
      </c>
      <c r="E5" s="416" t="s">
        <v>360</v>
      </c>
      <c r="F5" s="121"/>
    </row>
    <row r="6" spans="2:7" ht="21.65" customHeight="1" thickBot="1" x14ac:dyDescent="0.45">
      <c r="B6" s="122" t="s">
        <v>195</v>
      </c>
      <c r="C6" s="415"/>
      <c r="D6" s="415"/>
      <c r="E6" s="417"/>
      <c r="F6" s="121"/>
    </row>
    <row r="7" spans="2:7" ht="18" customHeight="1" thickBot="1" x14ac:dyDescent="0.4">
      <c r="B7" s="123" t="s">
        <v>196</v>
      </c>
      <c r="C7" s="124">
        <v>7660</v>
      </c>
      <c r="D7" s="127">
        <v>-2994</v>
      </c>
      <c r="E7" s="125">
        <f>D18</f>
        <v>3178.5200000000186</v>
      </c>
      <c r="F7" s="121"/>
    </row>
    <row r="8" spans="2:7" x14ac:dyDescent="0.35">
      <c r="B8" s="126" t="s">
        <v>372</v>
      </c>
      <c r="C8" s="127">
        <v>270850</v>
      </c>
      <c r="D8" s="127">
        <f>'2024 Ops DRAFT Budget'!X13</f>
        <v>269137.61</v>
      </c>
      <c r="E8" s="128">
        <f>'2024 Ops DRAFT Budget'!AA13</f>
        <v>292000</v>
      </c>
      <c r="F8" s="121"/>
    </row>
    <row r="9" spans="2:7" x14ac:dyDescent="0.35">
      <c r="B9" s="129" t="s">
        <v>362</v>
      </c>
      <c r="C9" s="130"/>
      <c r="D9" s="130"/>
      <c r="E9" s="131"/>
      <c r="F9" s="121"/>
    </row>
    <row r="10" spans="2:7" x14ac:dyDescent="0.35">
      <c r="B10" s="132" t="s">
        <v>366</v>
      </c>
      <c r="C10" s="130">
        <v>-122000</v>
      </c>
      <c r="D10" s="130">
        <f>-'2024 Ops DRAFT Budget'!X19</f>
        <v>-122428.94</v>
      </c>
      <c r="E10" s="131">
        <f>-'2024 Ops DRAFT Budget'!AA19</f>
        <v>-132878</v>
      </c>
      <c r="F10" s="121"/>
    </row>
    <row r="11" spans="2:7" x14ac:dyDescent="0.35">
      <c r="B11" s="132" t="s">
        <v>367</v>
      </c>
      <c r="C11" s="130">
        <v>-28950</v>
      </c>
      <c r="D11" s="130">
        <f>-'2024 Ops DRAFT Budget'!X33</f>
        <v>-30230.09</v>
      </c>
      <c r="E11" s="131">
        <f>-'2024 Ops DRAFT Budget'!AA33</f>
        <v>-34504</v>
      </c>
      <c r="F11" s="121"/>
    </row>
    <row r="12" spans="2:7" x14ac:dyDescent="0.35">
      <c r="B12" s="133" t="s">
        <v>368</v>
      </c>
      <c r="C12" s="130">
        <v>-44520</v>
      </c>
      <c r="D12" s="130">
        <f>-'2024 Ops DRAFT Budget'!X51</f>
        <v>-53531.53</v>
      </c>
      <c r="E12" s="131">
        <f>-'2024 Ops DRAFT Budget'!AA51</f>
        <v>-55151</v>
      </c>
      <c r="F12" s="121"/>
    </row>
    <row r="13" spans="2:7" x14ac:dyDescent="0.35">
      <c r="B13" s="134" t="s">
        <v>369</v>
      </c>
      <c r="C13" s="130">
        <v>-15400</v>
      </c>
      <c r="D13" s="130">
        <f>-'2024 Ops DRAFT Budget'!X56</f>
        <v>-16774.53</v>
      </c>
      <c r="E13" s="131">
        <f>-'2024 Ops DRAFT Budget'!AA52-'2024 Ops DRAFT Budget'!AA53-'2024 Ops DRAFT Budget'!AA55</f>
        <v>-17100</v>
      </c>
      <c r="F13" s="121"/>
    </row>
    <row r="14" spans="2:7" x14ac:dyDescent="0.35">
      <c r="B14" s="132" t="s">
        <v>370</v>
      </c>
      <c r="C14" s="130">
        <v>-12000</v>
      </c>
      <c r="D14" s="130">
        <f>-'2024 Ops DRAFT Budget'!X54</f>
        <v>0</v>
      </c>
      <c r="E14" s="131">
        <f>-'2023 Ops Budget'!X55</f>
        <v>-12000</v>
      </c>
      <c r="F14" s="121"/>
    </row>
    <row r="15" spans="2:7" x14ac:dyDescent="0.35">
      <c r="B15" s="152" t="s">
        <v>376</v>
      </c>
      <c r="C15" s="130">
        <v>-50000</v>
      </c>
      <c r="D15" s="130">
        <v>-40000</v>
      </c>
      <c r="E15" s="131">
        <v>-40000</v>
      </c>
      <c r="F15" s="121"/>
    </row>
    <row r="16" spans="2:7" x14ac:dyDescent="0.35">
      <c r="B16" s="135" t="s">
        <v>377</v>
      </c>
      <c r="C16" s="136">
        <f>SUM(C10:C15)</f>
        <v>-272870</v>
      </c>
      <c r="D16" s="136">
        <f>SUM(D10:D15)</f>
        <v>-262965.08999999997</v>
      </c>
      <c r="E16" s="137">
        <f>SUM(E10:E15)</f>
        <v>-291633</v>
      </c>
      <c r="F16" s="121"/>
    </row>
    <row r="17" spans="2:6" ht="15" thickBot="1" x14ac:dyDescent="0.4">
      <c r="B17" s="138" t="s">
        <v>378</v>
      </c>
      <c r="C17" s="139">
        <f>C8+C16</f>
        <v>-2020</v>
      </c>
      <c r="D17" s="139">
        <f>D8+D16</f>
        <v>6172.5200000000186</v>
      </c>
      <c r="E17" s="140">
        <f>E8+E16</f>
        <v>367</v>
      </c>
      <c r="F17" s="121"/>
    </row>
    <row r="18" spans="2:6" ht="15" thickBot="1" x14ac:dyDescent="0.4">
      <c r="B18" s="141" t="s">
        <v>197</v>
      </c>
      <c r="C18" s="142">
        <f>C7+C17</f>
        <v>5640</v>
      </c>
      <c r="D18" s="142">
        <f>D7+D17</f>
        <v>3178.5200000000186</v>
      </c>
      <c r="E18" s="143">
        <f>E7+E17</f>
        <v>3545.5200000000186</v>
      </c>
      <c r="F18" s="121"/>
    </row>
    <row r="19" spans="2:6" ht="15" thickBot="1" x14ac:dyDescent="0.4">
      <c r="C19"/>
      <c r="D19"/>
      <c r="E19"/>
      <c r="F19" s="121"/>
    </row>
    <row r="20" spans="2:6" ht="18.5" thickBot="1" x14ac:dyDescent="0.45">
      <c r="B20" s="144" t="s">
        <v>198</v>
      </c>
      <c r="C20" s="145"/>
      <c r="D20" s="145"/>
      <c r="E20" s="145"/>
      <c r="F20" s="121"/>
    </row>
    <row r="21" spans="2:6" ht="15" thickBot="1" x14ac:dyDescent="0.4">
      <c r="B21" s="146" t="str">
        <f>B7</f>
        <v>BEGINNING FUND BALANCE</v>
      </c>
      <c r="C21" s="147">
        <v>275069.01</v>
      </c>
      <c r="D21" s="213">
        <f>'2024 Capital DRAFT Budget'!J5</f>
        <v>275069.01</v>
      </c>
      <c r="E21" s="148">
        <f>D35</f>
        <v>267049.01</v>
      </c>
      <c r="F21" s="121"/>
    </row>
    <row r="22" spans="2:6" x14ac:dyDescent="0.35">
      <c r="B22" s="149" t="s">
        <v>364</v>
      </c>
      <c r="C22" s="150">
        <v>50000</v>
      </c>
      <c r="D22" s="150">
        <f>'2024 Capital DRAFT Budget'!J12</f>
        <v>40000</v>
      </c>
      <c r="E22" s="151">
        <f>'2024 Capital DRAFT Budget'!K12</f>
        <v>40000</v>
      </c>
      <c r="F22" s="121"/>
    </row>
    <row r="23" spans="2:6" x14ac:dyDescent="0.35">
      <c r="B23" s="380" t="s">
        <v>365</v>
      </c>
      <c r="C23" s="150"/>
      <c r="D23" s="150">
        <f>'2024 Capital DRAFT Budget'!J11</f>
        <v>15000</v>
      </c>
      <c r="E23" s="387">
        <f>'2024 Capital DRAFT Budget'!K11</f>
        <v>85000</v>
      </c>
      <c r="F23" s="121"/>
    </row>
    <row r="24" spans="2:6" x14ac:dyDescent="0.35">
      <c r="B24" s="152" t="s">
        <v>363</v>
      </c>
      <c r="C24" s="150"/>
      <c r="D24" s="150"/>
      <c r="E24" s="151"/>
      <c r="F24" s="121"/>
    </row>
    <row r="25" spans="2:6" x14ac:dyDescent="0.35">
      <c r="B25" s="152" t="s">
        <v>356</v>
      </c>
      <c r="C25" s="150"/>
      <c r="D25" s="150">
        <f>-'2024 Capital DRAFT Budget'!J16-'2024 Capital DRAFT Budget'!J17</f>
        <v>0</v>
      </c>
      <c r="E25" s="151">
        <f>-'2024 Capital DRAFT Budget'!K16-'2024 Capital DRAFT Budget'!K17</f>
        <v>-9000</v>
      </c>
      <c r="F25" s="121"/>
    </row>
    <row r="26" spans="2:6" x14ac:dyDescent="0.35">
      <c r="B26" s="152" t="str">
        <f>'[1]2021-22 Capital Budget'!B8</f>
        <v xml:space="preserve">          Meter Replacement Program</v>
      </c>
      <c r="C26" s="150">
        <v>-3000</v>
      </c>
      <c r="D26" s="150">
        <f>-'2024 Capital DRAFT Budget'!J22</f>
        <v>-3500</v>
      </c>
      <c r="E26" s="151">
        <f>-'2023 Capital DRAFT Budget'!K22</f>
        <v>-3000</v>
      </c>
      <c r="F26" s="121"/>
    </row>
    <row r="27" spans="2:6" x14ac:dyDescent="0.35">
      <c r="B27" s="152" t="s">
        <v>361</v>
      </c>
      <c r="C27" s="150">
        <v>0</v>
      </c>
      <c r="D27" s="150">
        <f>'2023 Capital DRAFT Budget'!K23</f>
        <v>0</v>
      </c>
      <c r="E27" s="151">
        <f>-'2024 Capital DRAFT Budget'!K34</f>
        <v>-10000</v>
      </c>
      <c r="F27" s="121"/>
    </row>
    <row r="28" spans="2:6" x14ac:dyDescent="0.35">
      <c r="B28" s="152" t="str">
        <f>'[1]2021-22 Capital Budget'!B11</f>
        <v xml:space="preserve">          Replacements @ DWA Building</v>
      </c>
      <c r="C28" s="150">
        <v>-32000</v>
      </c>
      <c r="D28" s="150">
        <f>-'2024 Capital DRAFT Budget'!J40</f>
        <v>-35019</v>
      </c>
      <c r="E28" s="151">
        <f>-'2024 Capital DRAFT Budget'!K40</f>
        <v>-5000</v>
      </c>
      <c r="F28" s="121"/>
    </row>
    <row r="29" spans="2:6" x14ac:dyDescent="0.35">
      <c r="B29" s="152" t="s">
        <v>380</v>
      </c>
      <c r="C29" s="150">
        <v>-59000</v>
      </c>
      <c r="D29" s="150">
        <f>-'2024 Capital DRAFT Budget'!J50</f>
        <v>-15000</v>
      </c>
      <c r="E29" s="151">
        <f>-'2024 Capital DRAFT Budget'!K50</f>
        <v>-85000</v>
      </c>
      <c r="F29" s="121"/>
    </row>
    <row r="30" spans="2:6" x14ac:dyDescent="0.35">
      <c r="B30" s="152" t="s">
        <v>386</v>
      </c>
      <c r="C30" s="150">
        <v>-30000</v>
      </c>
      <c r="D30" s="150">
        <v>0</v>
      </c>
      <c r="E30" s="151">
        <v>0</v>
      </c>
      <c r="F30" s="121"/>
    </row>
    <row r="31" spans="2:6" x14ac:dyDescent="0.35">
      <c r="B31" s="152" t="s">
        <v>261</v>
      </c>
      <c r="C31" s="150">
        <v>-7000</v>
      </c>
      <c r="D31" s="150">
        <f>-'2024 Capital DRAFT Budget'!J62</f>
        <v>-5435</v>
      </c>
      <c r="E31" s="151">
        <v>0</v>
      </c>
      <c r="F31" s="121"/>
    </row>
    <row r="32" spans="2:6" x14ac:dyDescent="0.35">
      <c r="B32" s="152" t="str">
        <f>'[1]2021-22 Capital Budget'!B13</f>
        <v xml:space="preserve">          Unscheduled Replacement Costs</v>
      </c>
      <c r="C32" s="150">
        <v>-9000</v>
      </c>
      <c r="D32" s="150">
        <f>-'2024 Capital DRAFT Budget'!J81</f>
        <v>-4066</v>
      </c>
      <c r="E32" s="151">
        <f>-'[1]2021-22 Capital Budget'!F13</f>
        <v>-9000</v>
      </c>
      <c r="F32" s="121"/>
    </row>
    <row r="33" spans="2:6" x14ac:dyDescent="0.35">
      <c r="B33" s="153" t="s">
        <v>384</v>
      </c>
      <c r="C33" s="154">
        <v>-140000</v>
      </c>
      <c r="D33" s="154">
        <f>SUM(D25:D32)</f>
        <v>-63020</v>
      </c>
      <c r="E33" s="155">
        <f>SUM(E25:E32)</f>
        <v>-121000</v>
      </c>
      <c r="F33" s="121"/>
    </row>
    <row r="34" spans="2:6" ht="15" thickBot="1" x14ac:dyDescent="0.4">
      <c r="B34" s="156" t="s">
        <v>199</v>
      </c>
      <c r="C34" s="157">
        <v>-90000</v>
      </c>
      <c r="D34" s="157">
        <f>SUM(D22:D32)</f>
        <v>-8020</v>
      </c>
      <c r="E34" s="158">
        <f>E22+E23+E33</f>
        <v>4000</v>
      </c>
      <c r="F34" s="121"/>
    </row>
    <row r="35" spans="2:6" ht="15" thickBot="1" x14ac:dyDescent="0.4">
      <c r="B35" s="159" t="str">
        <f>B18</f>
        <v>ENDING FUND BALANCE</v>
      </c>
      <c r="C35" s="160">
        <v>185069.01</v>
      </c>
      <c r="D35" s="160">
        <f>D21+D34</f>
        <v>267049.01</v>
      </c>
      <c r="E35" s="161">
        <f>E21+E34</f>
        <v>271049.01</v>
      </c>
      <c r="F35" s="121"/>
    </row>
    <row r="36" spans="2:6" ht="15" thickBot="1" x14ac:dyDescent="0.4">
      <c r="C36"/>
      <c r="D36"/>
      <c r="E36"/>
      <c r="F36" s="121"/>
    </row>
    <row r="37" spans="2:6" ht="18.5" thickBot="1" x14ac:dyDescent="0.45">
      <c r="B37" s="122" t="s">
        <v>357</v>
      </c>
      <c r="C37" s="119"/>
      <c r="D37" s="119"/>
      <c r="E37" s="119"/>
      <c r="F37" s="121"/>
    </row>
    <row r="38" spans="2:6" ht="15" thickBot="1" x14ac:dyDescent="0.4">
      <c r="B38" s="162" t="str">
        <f>B21</f>
        <v>BEGINNING FUND BALANCE</v>
      </c>
      <c r="C38" s="147">
        <v>-78202.590000000011</v>
      </c>
      <c r="D38" s="213">
        <f>'2024 Capital DRAFT Budget'!P5</f>
        <v>-76645.88</v>
      </c>
      <c r="E38" s="148">
        <f>D50</f>
        <v>-38564.36</v>
      </c>
      <c r="F38" s="121"/>
    </row>
    <row r="39" spans="2:6" x14ac:dyDescent="0.35">
      <c r="B39" s="163" t="s">
        <v>371</v>
      </c>
      <c r="C39" s="150">
        <v>82200</v>
      </c>
      <c r="D39" s="150">
        <f>'2024 Capital DRAFT Budget'!P7+'2024 Capital DRAFT Budget'!P8+'2024 Capital DRAFT Budget'!P10</f>
        <v>81220.52</v>
      </c>
      <c r="E39" s="151">
        <f>'2024 Capital DRAFT Budget'!Q7+'2024 Capital DRAFT Budget'!Q8+'2024 Capital DRAFT Budget'!Q10</f>
        <v>110205</v>
      </c>
      <c r="F39" s="121"/>
    </row>
    <row r="40" spans="2:6" x14ac:dyDescent="0.35">
      <c r="B40" s="163" t="s">
        <v>373</v>
      </c>
      <c r="C40" s="150"/>
      <c r="D40" s="150">
        <v>0</v>
      </c>
      <c r="E40" s="151">
        <v>100000</v>
      </c>
      <c r="F40" s="121"/>
    </row>
    <row r="41" spans="2:6" x14ac:dyDescent="0.35">
      <c r="B41" s="163" t="s">
        <v>379</v>
      </c>
      <c r="C41" s="150">
        <v>0</v>
      </c>
      <c r="D41" s="150">
        <f>'2024 Capital DRAFT Budget'!P9-'2024 Capital DRAFT Budget'!P80</f>
        <v>27147</v>
      </c>
      <c r="E41" s="151">
        <f>'2023 Capital DRAFT Budget'!P9-'2023 Capital DRAFT Budget'!P74</f>
        <v>0</v>
      </c>
      <c r="F41" s="121"/>
    </row>
    <row r="42" spans="2:6" x14ac:dyDescent="0.35">
      <c r="B42" s="164" t="s">
        <v>362</v>
      </c>
      <c r="C42" s="150"/>
      <c r="D42" s="150"/>
      <c r="E42" s="151"/>
      <c r="F42" s="121"/>
    </row>
    <row r="43" spans="2:6" x14ac:dyDescent="0.35">
      <c r="B43" s="152" t="s">
        <v>356</v>
      </c>
      <c r="C43" s="150">
        <v>-51500</v>
      </c>
      <c r="D43" s="150">
        <f>-'2024 Capital DRAFT Budget'!P16-'2024 Capital DRAFT Budget'!P17</f>
        <v>-50236</v>
      </c>
      <c r="E43" s="151">
        <f>-'2024 Capital DRAFT Budget'!Q16-'2024 Capital DRAFT Budget'!Q17</f>
        <v>-54000</v>
      </c>
      <c r="F43" s="121"/>
    </row>
    <row r="44" spans="2:6" x14ac:dyDescent="0.35">
      <c r="B44" s="165" t="s">
        <v>374</v>
      </c>
      <c r="C44" s="150">
        <v>0</v>
      </c>
      <c r="D44" s="150">
        <v>0</v>
      </c>
      <c r="E44" s="151">
        <f>-'2024 Capital DRAFT Budget'!Q28</f>
        <v>-113000</v>
      </c>
      <c r="F44" s="121"/>
    </row>
    <row r="45" spans="2:6" x14ac:dyDescent="0.35">
      <c r="B45" s="165" t="s">
        <v>262</v>
      </c>
      <c r="C45" s="150">
        <v>-3000</v>
      </c>
      <c r="D45" s="150">
        <f>-'2024 Capital DRAFT Budget'!P28</f>
        <v>-50</v>
      </c>
      <c r="E45" s="151">
        <v>0</v>
      </c>
      <c r="F45" s="121"/>
    </row>
    <row r="46" spans="2:6" x14ac:dyDescent="0.35">
      <c r="B46" s="165" t="str">
        <f>'[1]2021-22 Capital Budget'!B37</f>
        <v xml:space="preserve">          Unscheduled Improvement Costs</v>
      </c>
      <c r="C46" s="150">
        <v>-3000</v>
      </c>
      <c r="D46" s="150">
        <v>0</v>
      </c>
      <c r="E46" s="151">
        <f>-'2024 Capital DRAFT Budget'!Q81</f>
        <v>-3000</v>
      </c>
      <c r="F46" s="121"/>
    </row>
    <row r="47" spans="2:6" x14ac:dyDescent="0.35">
      <c r="B47" s="164" t="s">
        <v>395</v>
      </c>
      <c r="C47" s="150"/>
      <c r="D47" s="150">
        <f>-'2024 Capital DRAFT Budget'!P82</f>
        <v>-20000</v>
      </c>
      <c r="E47" s="151"/>
      <c r="F47" s="121"/>
    </row>
    <row r="48" spans="2:6" x14ac:dyDescent="0.35">
      <c r="B48" s="166" t="s">
        <v>385</v>
      </c>
      <c r="C48" s="154">
        <v>-6000</v>
      </c>
      <c r="D48" s="154">
        <f>SUM(D43:D47)</f>
        <v>-70286</v>
      </c>
      <c r="E48" s="155">
        <f>SUM(E43:E46)</f>
        <v>-170000</v>
      </c>
      <c r="F48" s="121"/>
    </row>
    <row r="49" spans="2:7" x14ac:dyDescent="0.35">
      <c r="B49" s="167" t="s">
        <v>199</v>
      </c>
      <c r="C49" s="168">
        <v>24700</v>
      </c>
      <c r="D49" s="168">
        <f>SUM(D39:D41)+D48</f>
        <v>38081.520000000004</v>
      </c>
      <c r="E49" s="169">
        <f>SUM(E39:E41)+E48</f>
        <v>40205</v>
      </c>
      <c r="F49" s="121"/>
    </row>
    <row r="50" spans="2:7" ht="15" thickBot="1" x14ac:dyDescent="0.4">
      <c r="B50" s="170" t="str">
        <f>B35</f>
        <v>ENDING FUND BALANCE</v>
      </c>
      <c r="C50" s="171">
        <v>-53502.590000000011</v>
      </c>
      <c r="D50" s="171">
        <f>D38+D49</f>
        <v>-38564.36</v>
      </c>
      <c r="E50" s="172">
        <f>E38+E49</f>
        <v>1640.6399999999994</v>
      </c>
      <c r="F50" s="121"/>
    </row>
    <row r="51" spans="2:7" ht="15" thickBot="1" x14ac:dyDescent="0.4">
      <c r="C51"/>
      <c r="D51"/>
      <c r="E51"/>
      <c r="F51" s="121"/>
    </row>
    <row r="52" spans="2:7" ht="18.5" thickBot="1" x14ac:dyDescent="0.4">
      <c r="B52" s="173" t="s">
        <v>200</v>
      </c>
      <c r="C52" s="119"/>
      <c r="D52" s="119"/>
      <c r="E52" s="119"/>
      <c r="F52" s="121"/>
    </row>
    <row r="53" spans="2:7" ht="15" thickBot="1" x14ac:dyDescent="0.4">
      <c r="B53" s="162" t="str">
        <f>B38</f>
        <v>BEGINNING FUND BALANCE</v>
      </c>
      <c r="C53" s="160">
        <v>104102</v>
      </c>
      <c r="D53" s="160">
        <f>C56</f>
        <v>104102</v>
      </c>
      <c r="E53" s="161">
        <f>D56</f>
        <v>104102</v>
      </c>
      <c r="F53" s="121"/>
    </row>
    <row r="54" spans="2:7" ht="15" thickBot="1" x14ac:dyDescent="0.4">
      <c r="B54" s="404" t="s">
        <v>397</v>
      </c>
      <c r="C54" s="405"/>
      <c r="D54" s="174">
        <v>20000</v>
      </c>
      <c r="E54" s="406"/>
      <c r="F54" s="121"/>
    </row>
    <row r="55" spans="2:7" ht="15" thickBot="1" x14ac:dyDescent="0.4">
      <c r="B55" s="152" t="s">
        <v>267</v>
      </c>
      <c r="C55" s="174">
        <v>0</v>
      </c>
      <c r="D55" s="174">
        <v>-20000</v>
      </c>
      <c r="E55" s="175">
        <v>0</v>
      </c>
      <c r="F55" s="121"/>
    </row>
    <row r="56" spans="2:7" ht="15" thickBot="1" x14ac:dyDescent="0.4">
      <c r="B56" s="159" t="str">
        <f>B50</f>
        <v>ENDING FUND BALANCE</v>
      </c>
      <c r="C56" s="147">
        <f>C53+C55</f>
        <v>104102</v>
      </c>
      <c r="D56" s="147">
        <f>D53++D54+D55</f>
        <v>104102</v>
      </c>
      <c r="E56" s="148">
        <f>E53+E55</f>
        <v>104102</v>
      </c>
      <c r="F56" s="121"/>
    </row>
    <row r="57" spans="2:7" ht="18.5" thickBot="1" x14ac:dyDescent="0.45">
      <c r="B57" s="176" t="s">
        <v>201</v>
      </c>
      <c r="C57" s="177">
        <f>'[1]2020-21 Summary Budget '!F57</f>
        <v>230422.42857142858</v>
      </c>
      <c r="D57" s="177">
        <f>D56+D50+D35+D18</f>
        <v>335765.17000000004</v>
      </c>
      <c r="E57" s="178">
        <f>E56+E50+E35+E18</f>
        <v>380337.17000000004</v>
      </c>
      <c r="F57" s="121"/>
    </row>
    <row r="58" spans="2:7" ht="15" x14ac:dyDescent="0.35">
      <c r="B58" s="232" t="s">
        <v>391</v>
      </c>
      <c r="C58" s="233"/>
      <c r="D58" s="233"/>
      <c r="E58" s="233"/>
      <c r="F58" s="121"/>
    </row>
    <row r="59" spans="2:7" x14ac:dyDescent="0.35">
      <c r="B59" s="379"/>
      <c r="C59" s="379"/>
      <c r="D59" s="379"/>
      <c r="E59" s="379"/>
      <c r="F59" s="121"/>
    </row>
    <row r="60" spans="2:7" s="120" customFormat="1" x14ac:dyDescent="0.35">
      <c r="B60" s="379"/>
      <c r="C60" s="379"/>
      <c r="D60" s="379"/>
      <c r="E60" s="379"/>
      <c r="F60" s="121"/>
    </row>
    <row r="61" spans="2:7" s="120" customFormat="1" x14ac:dyDescent="0.35">
      <c r="B61" s="379"/>
      <c r="C61" s="379"/>
      <c r="D61" s="379"/>
      <c r="E61" s="379"/>
      <c r="F61" s="121"/>
    </row>
    <row r="62" spans="2:7" s="235" customFormat="1" x14ac:dyDescent="0.35">
      <c r="B62" s="231"/>
      <c r="C62" s="19"/>
      <c r="D62" s="19"/>
      <c r="E62" s="19"/>
      <c r="F62" s="379"/>
      <c r="G62" s="379"/>
    </row>
    <row r="63" spans="2:7" s="235" customFormat="1" x14ac:dyDescent="0.35">
      <c r="B63" s="231"/>
      <c r="C63" s="19"/>
      <c r="D63" s="19"/>
      <c r="E63" s="19"/>
      <c r="F63" s="379"/>
      <c r="G63" s="379"/>
    </row>
    <row r="64" spans="2:7" s="235" customFormat="1" x14ac:dyDescent="0.35">
      <c r="B64" s="231"/>
      <c r="C64" s="19"/>
      <c r="D64" s="19"/>
      <c r="E64" s="19"/>
      <c r="F64" s="379"/>
      <c r="G64" s="379"/>
    </row>
  </sheetData>
  <mergeCells count="6">
    <mergeCell ref="B1:G1"/>
    <mergeCell ref="B2:G2"/>
    <mergeCell ref="B3:G3"/>
    <mergeCell ref="C5:C6"/>
    <mergeCell ref="E5:E6"/>
    <mergeCell ref="D5:D6"/>
  </mergeCells>
  <printOptions horizontalCentered="1"/>
  <pageMargins left="0.5" right="0.5" top="0.5" bottom="0.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H221"/>
  <sheetViews>
    <sheetView showGridLines="0" showRowColHeaders="0" zoomScale="129" zoomScaleNormal="160" workbookViewId="0">
      <pane xSplit="2" ySplit="5" topLeftCell="N6" activePane="bottomRight" state="frozen"/>
      <selection activeCell="D40" sqref="D40"/>
      <selection pane="topRight" activeCell="D40" sqref="D40"/>
      <selection pane="bottomLeft" activeCell="D40" sqref="D40"/>
      <selection pane="bottomRight" activeCell="AK21" sqref="AK21"/>
    </sheetView>
  </sheetViews>
  <sheetFormatPr defaultColWidth="8.6328125" defaultRowHeight="14.5" outlineLevelRow="1" outlineLevelCol="3" x14ac:dyDescent="0.35"/>
  <cols>
    <col min="1" max="1" width="4.90625" style="268" customWidth="1"/>
    <col min="2" max="2" width="27.08984375" style="268" bestFit="1" customWidth="1"/>
    <col min="3" max="7" width="11.453125" style="268" hidden="1" customWidth="1" outlineLevel="1"/>
    <col min="8" max="8" width="11.453125" style="268" hidden="1" customWidth="1" collapsed="1"/>
    <col min="9" max="9" width="11.453125" style="268" hidden="1" customWidth="1"/>
    <col min="10" max="13" width="11.453125" style="268" hidden="1" customWidth="1" outlineLevel="1"/>
    <col min="14" max="14" width="11.453125" style="268" customWidth="1" collapsed="1"/>
    <col min="15" max="15" width="9.90625" style="268" bestFit="1" customWidth="1"/>
    <col min="16" max="17" width="11.453125" style="268" hidden="1" customWidth="1" outlineLevel="1"/>
    <col min="18" max="19" width="11.453125" style="288" hidden="1" customWidth="1" outlineLevel="2"/>
    <col min="20" max="20" width="11.453125" style="271" hidden="1" customWidth="1" outlineLevel="1" collapsed="1"/>
    <col min="21" max="22" width="11.453125" style="289" hidden="1" customWidth="1" outlineLevel="2"/>
    <col min="23" max="23" width="11.453125" style="271" hidden="1" customWidth="1" outlineLevel="1" collapsed="1"/>
    <col min="24" max="24" width="11.453125" style="270" customWidth="1" collapsed="1"/>
    <col min="25" max="25" width="10.90625" style="268" hidden="1" customWidth="1"/>
    <col min="26" max="26" width="7.6328125" style="399" customWidth="1"/>
    <col min="27" max="27" width="11.453125" style="269" hidden="1" customWidth="1" outlineLevel="3"/>
    <col min="28" max="28" width="8.6328125" style="335" hidden="1" customWidth="1" outlineLevel="3"/>
    <col min="29" max="29" width="1.36328125" style="268" hidden="1" customWidth="1" outlineLevel="3"/>
    <col min="30" max="30" width="50.81640625" style="365" hidden="1" customWidth="1" outlineLevel="3"/>
    <col min="31" max="31" width="9.81640625" style="268" bestFit="1" customWidth="1" collapsed="1"/>
    <col min="32" max="32" width="9.90625" style="268" bestFit="1" customWidth="1"/>
    <col min="33" max="33" width="8.6328125" style="268"/>
    <col min="34" max="34" width="11.90625" style="268" bestFit="1" customWidth="1"/>
    <col min="35" max="16384" width="8.6328125" style="268"/>
  </cols>
  <sheetData>
    <row r="1" spans="2:31" ht="6.75" customHeight="1" x14ac:dyDescent="0.35">
      <c r="B1" s="271"/>
      <c r="C1" s="271"/>
      <c r="D1" s="271"/>
      <c r="E1" s="271"/>
      <c r="F1" s="271"/>
      <c r="G1" s="271"/>
      <c r="H1" s="271"/>
      <c r="I1" s="271"/>
      <c r="J1" s="271"/>
      <c r="K1" s="271"/>
      <c r="L1" s="271"/>
      <c r="M1" s="271"/>
      <c r="N1" s="271"/>
      <c r="O1" s="271"/>
      <c r="P1" s="271"/>
      <c r="Q1" s="271"/>
      <c r="R1" s="289"/>
      <c r="S1" s="289"/>
      <c r="X1" s="271"/>
      <c r="Y1" s="271"/>
      <c r="Z1" s="388"/>
      <c r="AA1" s="271"/>
    </row>
    <row r="2" spans="2:31" ht="16.75" customHeight="1" x14ac:dyDescent="0.5">
      <c r="B2" s="345"/>
      <c r="C2" s="345"/>
      <c r="D2" s="345"/>
      <c r="E2" s="345"/>
      <c r="F2" s="345"/>
      <c r="G2" s="345"/>
      <c r="H2" s="345"/>
      <c r="I2" s="345"/>
      <c r="J2" s="345"/>
      <c r="K2" s="345"/>
      <c r="L2" s="345"/>
      <c r="M2" s="345"/>
      <c r="N2" s="369" t="s">
        <v>349</v>
      </c>
      <c r="O2" s="345"/>
      <c r="P2" s="345"/>
      <c r="Q2" s="345"/>
      <c r="R2" s="346"/>
      <c r="S2" s="346"/>
      <c r="T2" s="345"/>
      <c r="U2" s="346"/>
      <c r="V2" s="346"/>
      <c r="W2" s="345" t="s">
        <v>387</v>
      </c>
      <c r="X2" s="345"/>
      <c r="Y2" s="345"/>
      <c r="Z2" s="389"/>
      <c r="AA2" s="345"/>
      <c r="AB2" s="347"/>
    </row>
    <row r="3" spans="2:31" ht="16.75" customHeight="1" thickBot="1" x14ac:dyDescent="0.4">
      <c r="B3" s="345"/>
      <c r="C3" s="345"/>
      <c r="D3" s="345"/>
      <c r="E3" s="345"/>
      <c r="F3" s="345"/>
      <c r="G3" s="345"/>
      <c r="H3" s="345"/>
      <c r="I3" s="345"/>
      <c r="J3" s="345"/>
      <c r="K3" s="345"/>
      <c r="L3" s="345"/>
      <c r="M3" s="345"/>
      <c r="N3" s="370" t="s">
        <v>352</v>
      </c>
      <c r="O3" s="364"/>
      <c r="P3" s="345"/>
      <c r="Q3" s="345"/>
      <c r="R3" s="346"/>
      <c r="S3" s="346"/>
      <c r="T3" s="345"/>
      <c r="U3" s="346"/>
      <c r="V3" s="346"/>
      <c r="W3" s="345" t="s">
        <v>390</v>
      </c>
      <c r="X3" s="345"/>
      <c r="Y3" s="345"/>
      <c r="Z3" s="389"/>
      <c r="AA3" s="364"/>
      <c r="AB3" s="347"/>
    </row>
    <row r="4" spans="2:31" s="295" customFormat="1" x14ac:dyDescent="0.35">
      <c r="B4" s="296"/>
      <c r="C4" s="297" t="s">
        <v>304</v>
      </c>
      <c r="D4" s="297"/>
      <c r="E4" s="297"/>
      <c r="F4" s="297"/>
      <c r="G4" s="297"/>
      <c r="H4" s="297" t="s">
        <v>304</v>
      </c>
      <c r="I4" s="297" t="s">
        <v>303</v>
      </c>
      <c r="J4" s="297"/>
      <c r="K4" s="297"/>
      <c r="L4" s="297"/>
      <c r="M4" s="297"/>
      <c r="N4" s="297" t="s">
        <v>303</v>
      </c>
      <c r="O4" s="348" t="s">
        <v>301</v>
      </c>
      <c r="P4" s="297"/>
      <c r="Q4" s="297"/>
      <c r="R4" s="298" t="s">
        <v>302</v>
      </c>
      <c r="S4" s="298" t="s">
        <v>302</v>
      </c>
      <c r="T4" s="299"/>
      <c r="U4" s="300" t="s">
        <v>302</v>
      </c>
      <c r="V4" s="300" t="s">
        <v>302</v>
      </c>
      <c r="W4" s="299" t="s">
        <v>155</v>
      </c>
      <c r="X4" s="356" t="s">
        <v>301</v>
      </c>
      <c r="Y4" s="297" t="s">
        <v>301</v>
      </c>
      <c r="Z4" s="390"/>
      <c r="AA4" s="301" t="s">
        <v>300</v>
      </c>
      <c r="AB4" s="328" t="s">
        <v>331</v>
      </c>
      <c r="AD4" s="366"/>
    </row>
    <row r="5" spans="2:31" s="295" customFormat="1" x14ac:dyDescent="0.35">
      <c r="B5" s="302" t="s">
        <v>145</v>
      </c>
      <c r="C5" s="303" t="s">
        <v>5</v>
      </c>
      <c r="D5" s="303" t="s">
        <v>299</v>
      </c>
      <c r="E5" s="303" t="s">
        <v>298</v>
      </c>
      <c r="F5" s="303" t="s">
        <v>293</v>
      </c>
      <c r="G5" s="303" t="s">
        <v>290</v>
      </c>
      <c r="H5" s="303" t="s">
        <v>147</v>
      </c>
      <c r="I5" s="303" t="s">
        <v>5</v>
      </c>
      <c r="J5" s="303" t="s">
        <v>297</v>
      </c>
      <c r="K5" s="303" t="s">
        <v>296</v>
      </c>
      <c r="L5" s="303" t="s">
        <v>292</v>
      </c>
      <c r="M5" s="303" t="s">
        <v>289</v>
      </c>
      <c r="N5" s="303" t="s">
        <v>147</v>
      </c>
      <c r="O5" s="349" t="s">
        <v>5</v>
      </c>
      <c r="P5" s="303" t="s">
        <v>295</v>
      </c>
      <c r="Q5" s="303" t="s">
        <v>294</v>
      </c>
      <c r="R5" s="304" t="s">
        <v>293</v>
      </c>
      <c r="S5" s="304" t="s">
        <v>292</v>
      </c>
      <c r="T5" s="305" t="s">
        <v>291</v>
      </c>
      <c r="U5" s="306" t="s">
        <v>290</v>
      </c>
      <c r="V5" s="306" t="s">
        <v>289</v>
      </c>
      <c r="W5" s="305" t="s">
        <v>288</v>
      </c>
      <c r="X5" s="357" t="s">
        <v>155</v>
      </c>
      <c r="Y5" s="303" t="s">
        <v>149</v>
      </c>
      <c r="Z5" s="391"/>
      <c r="AA5" s="307" t="s">
        <v>257</v>
      </c>
      <c r="AB5" s="329" t="s">
        <v>332</v>
      </c>
      <c r="AD5" s="366"/>
    </row>
    <row r="6" spans="2:31" outlineLevel="1" x14ac:dyDescent="0.35">
      <c r="B6" s="308" t="s">
        <v>8</v>
      </c>
      <c r="C6" s="278"/>
      <c r="D6" s="278"/>
      <c r="E6" s="278"/>
      <c r="F6" s="278"/>
      <c r="G6" s="278"/>
      <c r="H6" s="278"/>
      <c r="I6" s="278"/>
      <c r="J6" s="278"/>
      <c r="K6" s="278"/>
      <c r="L6" s="278"/>
      <c r="M6" s="278"/>
      <c r="N6" s="278"/>
      <c r="O6" s="350"/>
      <c r="P6" s="278"/>
      <c r="Q6" s="278"/>
      <c r="R6" s="309"/>
      <c r="S6" s="309"/>
      <c r="T6" s="286"/>
      <c r="U6" s="310"/>
      <c r="V6" s="310"/>
      <c r="W6" s="286"/>
      <c r="X6" s="358"/>
      <c r="Y6" s="278"/>
      <c r="Z6" s="392"/>
      <c r="AA6" s="287"/>
      <c r="AB6" s="330"/>
    </row>
    <row r="7" spans="2:31" outlineLevel="1" x14ac:dyDescent="0.35">
      <c r="B7" s="311" t="s">
        <v>389</v>
      </c>
      <c r="C7" s="278">
        <v>7660</v>
      </c>
      <c r="D7" s="278">
        <v>-2994</v>
      </c>
      <c r="E7" s="278">
        <v>40517.919999999998</v>
      </c>
      <c r="F7" s="278">
        <v>40963.74</v>
      </c>
      <c r="G7" s="278">
        <v>41208.9</v>
      </c>
      <c r="H7" s="278">
        <f t="shared" ref="H7:H13" si="0">SUM(D7:G7)</f>
        <v>119696.56</v>
      </c>
      <c r="I7" s="278">
        <v>176000</v>
      </c>
      <c r="J7" s="278">
        <v>44844.2</v>
      </c>
      <c r="K7" s="278">
        <v>44997.54</v>
      </c>
      <c r="L7" s="278">
        <v>45019.48</v>
      </c>
      <c r="M7" s="278">
        <v>44121.72</v>
      </c>
      <c r="N7" s="278">
        <f t="shared" ref="N7:N13" si="1">SUM(J7:M7)</f>
        <v>178982.94</v>
      </c>
      <c r="O7" s="350">
        <v>181550</v>
      </c>
      <c r="P7" s="278">
        <v>45701.68</v>
      </c>
      <c r="Q7" s="278">
        <v>44734.28</v>
      </c>
      <c r="R7" s="278">
        <v>40963.74</v>
      </c>
      <c r="S7" s="309">
        <v>45019.48</v>
      </c>
      <c r="T7" s="286">
        <v>45599</v>
      </c>
      <c r="U7" s="310">
        <v>41208.9</v>
      </c>
      <c r="V7" s="310">
        <v>44121.72</v>
      </c>
      <c r="W7" s="286">
        <v>45720</v>
      </c>
      <c r="X7" s="358">
        <f t="shared" ref="X7:X13" si="2">P7+Q7+T7+W7</f>
        <v>181754.96</v>
      </c>
      <c r="Y7" s="278">
        <f t="shared" ref="Y7:Y13" si="3">X7-O7</f>
        <v>204.95999999999185</v>
      </c>
      <c r="Z7" s="392">
        <f>X7/O7</f>
        <v>1.0011289451941614</v>
      </c>
      <c r="AA7" s="287">
        <v>190000</v>
      </c>
      <c r="AB7" s="330">
        <f t="shared" ref="AB7:AB13" si="4">(AA7/X7)-1</f>
        <v>4.5363493794062126E-2</v>
      </c>
      <c r="AD7" s="365" t="s">
        <v>334</v>
      </c>
    </row>
    <row r="8" spans="2:31" outlineLevel="1" x14ac:dyDescent="0.35">
      <c r="B8" s="311" t="s">
        <v>388</v>
      </c>
      <c r="C8" s="278">
        <v>50000</v>
      </c>
      <c r="D8" s="278">
        <f>'2024 Ops DRAFT Budget'!X13</f>
        <v>269137.61</v>
      </c>
      <c r="E8" s="278">
        <v>11937.86</v>
      </c>
      <c r="F8" s="278">
        <v>7195.33</v>
      </c>
      <c r="G8" s="278">
        <v>9942.5400000000009</v>
      </c>
      <c r="H8" s="278">
        <f t="shared" si="0"/>
        <v>298213.33999999997</v>
      </c>
      <c r="I8" s="278">
        <v>59000</v>
      </c>
      <c r="J8" s="278">
        <v>25034.400000000001</v>
      </c>
      <c r="K8" s="278">
        <v>14581.68</v>
      </c>
      <c r="L8" s="278">
        <v>10175.76</v>
      </c>
      <c r="M8" s="278">
        <v>11105.98</v>
      </c>
      <c r="N8" s="278">
        <f t="shared" si="1"/>
        <v>60897.820000000007</v>
      </c>
      <c r="O8" s="350">
        <v>78000</v>
      </c>
      <c r="P8" s="278">
        <v>28760.86</v>
      </c>
      <c r="Q8" s="278">
        <v>20233.27</v>
      </c>
      <c r="R8" s="278">
        <v>7195.33</v>
      </c>
      <c r="S8" s="309">
        <v>10175.76</v>
      </c>
      <c r="T8" s="286">
        <v>10420</v>
      </c>
      <c r="U8" s="310">
        <v>9942.5400000000009</v>
      </c>
      <c r="V8" s="310">
        <v>11105.98</v>
      </c>
      <c r="W8" s="286">
        <v>15368</v>
      </c>
      <c r="X8" s="358">
        <f t="shared" si="2"/>
        <v>74782.13</v>
      </c>
      <c r="Y8" s="278">
        <f t="shared" si="3"/>
        <v>-3217.8699999999953</v>
      </c>
      <c r="Z8" s="392">
        <f t="shared" ref="Z8:Z13" si="5">X8/O8</f>
        <v>0.95874525641025643</v>
      </c>
      <c r="AA8" s="287">
        <v>91000</v>
      </c>
      <c r="AB8" s="330">
        <f t="shared" si="4"/>
        <v>0.2168682544880709</v>
      </c>
      <c r="AD8" s="365" t="s">
        <v>335</v>
      </c>
    </row>
    <row r="9" spans="2:31" outlineLevel="1" x14ac:dyDescent="0.35">
      <c r="B9" s="312" t="s">
        <v>358</v>
      </c>
      <c r="C9" s="273">
        <v>10800</v>
      </c>
      <c r="D9" s="273">
        <v>3072.26</v>
      </c>
      <c r="E9" s="273">
        <v>2657.34</v>
      </c>
      <c r="F9" s="273">
        <v>2422.1999999999998</v>
      </c>
      <c r="G9" s="273">
        <v>2562.23</v>
      </c>
      <c r="H9" s="273">
        <f t="shared" si="0"/>
        <v>10714.03</v>
      </c>
      <c r="I9" s="273">
        <v>10800</v>
      </c>
      <c r="J9" s="273">
        <v>3335.54</v>
      </c>
      <c r="K9" s="273">
        <v>2817.56</v>
      </c>
      <c r="L9" s="273">
        <v>2607.9499999999998</v>
      </c>
      <c r="M9" s="273">
        <v>2664.55</v>
      </c>
      <c r="N9" s="273">
        <f t="shared" si="1"/>
        <v>11425.599999999999</v>
      </c>
      <c r="O9" s="351">
        <v>11000</v>
      </c>
      <c r="P9" s="273">
        <v>3608.6</v>
      </c>
      <c r="Q9" s="273">
        <v>3155.92</v>
      </c>
      <c r="R9" s="291">
        <v>2422.1999999999998</v>
      </c>
      <c r="S9" s="291">
        <v>2607.9499999999998</v>
      </c>
      <c r="T9" s="274">
        <v>2672</v>
      </c>
      <c r="U9" s="292">
        <v>2562.23</v>
      </c>
      <c r="V9" s="292">
        <v>2664.55</v>
      </c>
      <c r="W9" s="274">
        <v>2910</v>
      </c>
      <c r="X9" s="359">
        <f t="shared" si="2"/>
        <v>12346.52</v>
      </c>
      <c r="Y9" s="273">
        <f t="shared" si="3"/>
        <v>1346.5200000000004</v>
      </c>
      <c r="Z9" s="393">
        <f t="shared" si="5"/>
        <v>1.1224109090909091</v>
      </c>
      <c r="AA9" s="272">
        <v>13500</v>
      </c>
      <c r="AB9" s="331">
        <f t="shared" si="4"/>
        <v>9.3425515853859942E-2</v>
      </c>
    </row>
    <row r="10" spans="2:31" outlineLevel="1" x14ac:dyDescent="0.35">
      <c r="B10" s="308" t="s">
        <v>286</v>
      </c>
      <c r="C10" s="313">
        <v>220800</v>
      </c>
      <c r="D10" s="313">
        <f>-'2024 Ops DRAFT Budget'!X19</f>
        <v>-122428.94</v>
      </c>
      <c r="E10" s="313">
        <v>55113.120000000003</v>
      </c>
      <c r="F10" s="313">
        <v>50581.27</v>
      </c>
      <c r="G10" s="313">
        <v>53713.67</v>
      </c>
      <c r="H10" s="313">
        <f t="shared" si="0"/>
        <v>36979.119999999988</v>
      </c>
      <c r="I10" s="313">
        <v>245800</v>
      </c>
      <c r="J10" s="313">
        <v>73214.14</v>
      </c>
      <c r="K10" s="313">
        <v>62396.78</v>
      </c>
      <c r="L10" s="313">
        <v>57803.19</v>
      </c>
      <c r="M10" s="313">
        <v>57892.25</v>
      </c>
      <c r="N10" s="313">
        <f t="shared" si="1"/>
        <v>251306.36</v>
      </c>
      <c r="O10" s="352">
        <v>270550</v>
      </c>
      <c r="P10" s="313">
        <v>78071.14</v>
      </c>
      <c r="Q10" s="313">
        <v>68123.47</v>
      </c>
      <c r="R10" s="314">
        <v>50581.27</v>
      </c>
      <c r="S10" s="314">
        <v>57803.19</v>
      </c>
      <c r="T10" s="315">
        <f>SUM(T7:T9)</f>
        <v>58691</v>
      </c>
      <c r="U10" s="316">
        <v>53713.67</v>
      </c>
      <c r="V10" s="316">
        <v>57892.25</v>
      </c>
      <c r="W10" s="315">
        <f>SUM(W7:W9)</f>
        <v>63998</v>
      </c>
      <c r="X10" s="360">
        <f t="shared" si="2"/>
        <v>268883.61</v>
      </c>
      <c r="Y10" s="313">
        <f t="shared" si="3"/>
        <v>-1666.390000000014</v>
      </c>
      <c r="Z10" s="394">
        <f t="shared" si="5"/>
        <v>0.99384073184254296</v>
      </c>
      <c r="AA10" s="317">
        <f>SUM(AA7:AA9)</f>
        <v>294500</v>
      </c>
      <c r="AB10" s="321">
        <f t="shared" si="4"/>
        <v>9.5269436467324997E-2</v>
      </c>
    </row>
    <row r="11" spans="2:31" outlineLevel="1" x14ac:dyDescent="0.35">
      <c r="B11" s="311" t="s">
        <v>26</v>
      </c>
      <c r="C11" s="278">
        <v>300</v>
      </c>
      <c r="D11" s="278">
        <f>-'2024 Ops DRAFT Budget'!X33</f>
        <v>-30230.09</v>
      </c>
      <c r="E11" s="278">
        <v>30</v>
      </c>
      <c r="F11" s="278">
        <v>30</v>
      </c>
      <c r="G11" s="278">
        <v>145</v>
      </c>
      <c r="H11" s="278">
        <f>SUM(D11:G11)</f>
        <v>-30025.09</v>
      </c>
      <c r="I11" s="273">
        <v>350</v>
      </c>
      <c r="J11" s="273">
        <v>150</v>
      </c>
      <c r="K11" s="273">
        <v>30</v>
      </c>
      <c r="L11" s="273">
        <v>30</v>
      </c>
      <c r="M11" s="273">
        <v>158</v>
      </c>
      <c r="N11" s="278">
        <f>SUM(J11:M11)</f>
        <v>368</v>
      </c>
      <c r="O11" s="350">
        <v>300</v>
      </c>
      <c r="P11" s="278">
        <v>188</v>
      </c>
      <c r="Q11" s="278">
        <v>0</v>
      </c>
      <c r="R11" s="309">
        <v>30</v>
      </c>
      <c r="S11" s="309">
        <v>30</v>
      </c>
      <c r="T11" s="286">
        <v>33</v>
      </c>
      <c r="U11" s="310">
        <v>145</v>
      </c>
      <c r="V11" s="310">
        <v>158</v>
      </c>
      <c r="W11" s="286">
        <v>33</v>
      </c>
      <c r="X11" s="358">
        <f>P11+Q11+T11+W11</f>
        <v>254</v>
      </c>
      <c r="Y11" s="278">
        <f>X11-O11</f>
        <v>-46</v>
      </c>
      <c r="Z11" s="392">
        <f t="shared" si="5"/>
        <v>0.84666666666666668</v>
      </c>
      <c r="AA11" s="287">
        <v>500</v>
      </c>
      <c r="AB11" s="330">
        <f>(AA11/X11)-1</f>
        <v>0.96850393700787407</v>
      </c>
    </row>
    <row r="12" spans="2:31" outlineLevel="1" x14ac:dyDescent="0.35">
      <c r="B12" s="312" t="s">
        <v>333</v>
      </c>
      <c r="C12" s="273"/>
      <c r="D12" s="273">
        <f>-'2024 Ops DRAFT Budget'!X51</f>
        <v>-53531.53</v>
      </c>
      <c r="E12" s="273"/>
      <c r="F12" s="273"/>
      <c r="G12" s="273"/>
      <c r="H12" s="273"/>
      <c r="I12" s="273"/>
      <c r="J12" s="273"/>
      <c r="K12" s="273"/>
      <c r="L12" s="273"/>
      <c r="M12" s="273"/>
      <c r="N12" s="273"/>
      <c r="O12" s="351"/>
      <c r="P12" s="273"/>
      <c r="Q12" s="273"/>
      <c r="R12" s="291"/>
      <c r="S12" s="291"/>
      <c r="T12" s="274"/>
      <c r="U12" s="292"/>
      <c r="V12" s="292"/>
      <c r="W12" s="274"/>
      <c r="X12" s="359"/>
      <c r="Y12" s="273"/>
      <c r="Z12" s="393"/>
      <c r="AA12" s="272">
        <v>-3000</v>
      </c>
      <c r="AB12" s="331"/>
      <c r="AD12" s="365" t="s">
        <v>336</v>
      </c>
    </row>
    <row r="13" spans="2:31" s="290" customFormat="1" x14ac:dyDescent="0.35">
      <c r="B13" s="308" t="s">
        <v>88</v>
      </c>
      <c r="C13" s="313">
        <v>221100</v>
      </c>
      <c r="D13" s="313">
        <f>-'2024 Ops DRAFT Budget'!X56</f>
        <v>-16774.53</v>
      </c>
      <c r="E13" s="313">
        <v>55143.12</v>
      </c>
      <c r="F13" s="313">
        <v>50611.27</v>
      </c>
      <c r="G13" s="313">
        <v>53858.67</v>
      </c>
      <c r="H13" s="313">
        <f t="shared" si="0"/>
        <v>142838.53</v>
      </c>
      <c r="I13" s="313">
        <v>246150</v>
      </c>
      <c r="J13" s="313">
        <v>73364.14</v>
      </c>
      <c r="K13" s="313">
        <v>62426.78</v>
      </c>
      <c r="L13" s="313">
        <v>57833.19</v>
      </c>
      <c r="M13" s="313">
        <v>58050.25</v>
      </c>
      <c r="N13" s="313">
        <f t="shared" si="1"/>
        <v>251674.36</v>
      </c>
      <c r="O13" s="352">
        <v>270850</v>
      </c>
      <c r="P13" s="313">
        <v>78259.14</v>
      </c>
      <c r="Q13" s="313">
        <v>68123.47</v>
      </c>
      <c r="R13" s="314">
        <v>50611.27</v>
      </c>
      <c r="S13" s="314">
        <v>57833.19</v>
      </c>
      <c r="T13" s="315">
        <f>T10+T11</f>
        <v>58724</v>
      </c>
      <c r="U13" s="316">
        <v>53858.67</v>
      </c>
      <c r="V13" s="316">
        <v>58050.25</v>
      </c>
      <c r="W13" s="315">
        <f>W10+W11</f>
        <v>64031</v>
      </c>
      <c r="X13" s="360">
        <f t="shared" si="2"/>
        <v>269137.61</v>
      </c>
      <c r="Y13" s="313">
        <f t="shared" si="3"/>
        <v>-1712.390000000014</v>
      </c>
      <c r="Z13" s="394">
        <f t="shared" si="5"/>
        <v>0.99367771829425877</v>
      </c>
      <c r="AA13" s="317">
        <f>SUM(AA10:AA12)</f>
        <v>292000</v>
      </c>
      <c r="AB13" s="321">
        <f t="shared" si="4"/>
        <v>8.494684187765511E-2</v>
      </c>
      <c r="AD13" s="367"/>
      <c r="AE13" s="268"/>
    </row>
    <row r="14" spans="2:31" ht="19.25" customHeight="1" x14ac:dyDescent="0.35">
      <c r="B14" s="308" t="s">
        <v>33</v>
      </c>
      <c r="C14" s="278"/>
      <c r="D14" s="278">
        <f>-'2024 Ops DRAFT Budget'!X54</f>
        <v>0</v>
      </c>
      <c r="E14" s="278"/>
      <c r="F14" s="278"/>
      <c r="G14" s="278"/>
      <c r="H14" s="278"/>
      <c r="I14" s="278"/>
      <c r="J14" s="278"/>
      <c r="K14" s="278"/>
      <c r="L14" s="278"/>
      <c r="M14" s="278"/>
      <c r="N14" s="278"/>
      <c r="O14" s="350"/>
      <c r="P14" s="278"/>
      <c r="Q14" s="278"/>
      <c r="R14" s="309"/>
      <c r="S14" s="309"/>
      <c r="T14" s="286"/>
      <c r="U14" s="310"/>
      <c r="V14" s="310"/>
      <c r="W14" s="286"/>
      <c r="X14" s="358"/>
      <c r="Y14" s="278"/>
      <c r="Z14" s="392"/>
      <c r="AA14" s="287"/>
      <c r="AB14" s="330"/>
    </row>
    <row r="15" spans="2:31" hidden="1" outlineLevel="1" x14ac:dyDescent="0.35">
      <c r="B15" s="311" t="s">
        <v>285</v>
      </c>
      <c r="C15" s="278">
        <v>103000</v>
      </c>
      <c r="D15" s="278">
        <v>25515.919999999998</v>
      </c>
      <c r="E15" s="278">
        <v>25684.87</v>
      </c>
      <c r="F15" s="278">
        <v>26318.51</v>
      </c>
      <c r="G15" s="278">
        <v>25649.67</v>
      </c>
      <c r="H15" s="278"/>
      <c r="I15" s="278">
        <v>114140</v>
      </c>
      <c r="J15" s="278">
        <v>28950.17</v>
      </c>
      <c r="K15" s="278">
        <v>32910.699999999997</v>
      </c>
      <c r="L15" s="278">
        <v>29493.66</v>
      </c>
      <c r="M15" s="278">
        <v>29953.65</v>
      </c>
      <c r="N15" s="278"/>
      <c r="O15" s="350"/>
      <c r="P15" s="278">
        <v>30844.18</v>
      </c>
      <c r="Q15" s="278">
        <v>31370.76</v>
      </c>
      <c r="R15" s="309">
        <v>26318.51</v>
      </c>
      <c r="S15" s="309">
        <v>29493.66</v>
      </c>
      <c r="T15" s="286">
        <v>30214</v>
      </c>
      <c r="U15" s="310">
        <v>25649.67</v>
      </c>
      <c r="V15" s="310">
        <v>29953.65</v>
      </c>
      <c r="W15" s="286">
        <v>30000</v>
      </c>
      <c r="X15" s="358"/>
      <c r="Y15" s="278"/>
      <c r="Z15" s="392"/>
      <c r="AA15" s="287">
        <v>400</v>
      </c>
      <c r="AB15" s="330"/>
    </row>
    <row r="16" spans="2:31" hidden="1" outlineLevel="1" x14ac:dyDescent="0.35">
      <c r="B16" s="311" t="s">
        <v>284</v>
      </c>
      <c r="C16" s="278"/>
      <c r="D16" s="278"/>
      <c r="E16" s="278"/>
      <c r="F16" s="278"/>
      <c r="G16" s="278"/>
      <c r="H16" s="278"/>
      <c r="I16" s="278"/>
      <c r="J16" s="278"/>
      <c r="K16" s="278"/>
      <c r="L16" s="278"/>
      <c r="M16" s="278"/>
      <c r="N16" s="278"/>
      <c r="O16" s="350"/>
      <c r="P16" s="278"/>
      <c r="Q16" s="278"/>
      <c r="R16" s="309"/>
      <c r="S16" s="309"/>
      <c r="T16" s="286"/>
      <c r="U16" s="310"/>
      <c r="V16" s="310"/>
      <c r="W16" s="286"/>
      <c r="X16" s="358"/>
      <c r="Y16" s="278"/>
      <c r="Z16" s="392"/>
      <c r="AA16" s="287">
        <v>118578</v>
      </c>
      <c r="AB16" s="330"/>
    </row>
    <row r="17" spans="2:30" hidden="1" outlineLevel="1" x14ac:dyDescent="0.35">
      <c r="B17" s="311" t="s">
        <v>283</v>
      </c>
      <c r="C17" s="278"/>
      <c r="D17" s="278"/>
      <c r="E17" s="278"/>
      <c r="F17" s="278"/>
      <c r="G17" s="278"/>
      <c r="H17" s="278"/>
      <c r="I17" s="278"/>
      <c r="J17" s="278"/>
      <c r="K17" s="278"/>
      <c r="L17" s="278"/>
      <c r="M17" s="278"/>
      <c r="N17" s="278"/>
      <c r="O17" s="350"/>
      <c r="P17" s="278"/>
      <c r="Q17" s="278"/>
      <c r="R17" s="309"/>
      <c r="S17" s="309"/>
      <c r="T17" s="286"/>
      <c r="U17" s="310"/>
      <c r="V17" s="310"/>
      <c r="W17" s="286"/>
      <c r="X17" s="358"/>
      <c r="Y17" s="278"/>
      <c r="Z17" s="392"/>
      <c r="AA17" s="287">
        <v>13000</v>
      </c>
      <c r="AB17" s="330"/>
    </row>
    <row r="18" spans="2:30" hidden="1" outlineLevel="1" x14ac:dyDescent="0.35">
      <c r="B18" s="312" t="s">
        <v>282</v>
      </c>
      <c r="C18" s="273"/>
      <c r="D18" s="273">
        <f>'2024 Ops DRAFT Budget'!X59</f>
        <v>-40000.020000000004</v>
      </c>
      <c r="E18" s="273"/>
      <c r="F18" s="273"/>
      <c r="G18" s="273"/>
      <c r="H18" s="273"/>
      <c r="I18" s="273"/>
      <c r="J18" s="273"/>
      <c r="K18" s="273"/>
      <c r="L18" s="273"/>
      <c r="M18" s="273"/>
      <c r="N18" s="273"/>
      <c r="O18" s="351"/>
      <c r="P18" s="273"/>
      <c r="Q18" s="273"/>
      <c r="R18" s="291"/>
      <c r="S18" s="291"/>
      <c r="T18" s="274"/>
      <c r="U18" s="292"/>
      <c r="V18" s="292"/>
      <c r="W18" s="274"/>
      <c r="X18" s="359"/>
      <c r="Y18" s="273"/>
      <c r="Z18" s="393"/>
      <c r="AA18" s="272">
        <v>900</v>
      </c>
      <c r="AB18" s="331"/>
    </row>
    <row r="19" spans="2:30" collapsed="1" x14ac:dyDescent="0.35">
      <c r="B19" s="311" t="s">
        <v>324</v>
      </c>
      <c r="C19" s="278"/>
      <c r="D19" s="278"/>
      <c r="E19" s="278"/>
      <c r="F19" s="278"/>
      <c r="G19" s="278"/>
      <c r="H19" s="278">
        <f>SUM(D15:G15)</f>
        <v>103168.96999999999</v>
      </c>
      <c r="I19" s="278"/>
      <c r="J19" s="278"/>
      <c r="K19" s="278"/>
      <c r="L19" s="278"/>
      <c r="M19" s="278"/>
      <c r="N19" s="278">
        <f>SUM(J15:M15)</f>
        <v>121308.18</v>
      </c>
      <c r="O19" s="350">
        <v>122000</v>
      </c>
      <c r="P19" s="278"/>
      <c r="Q19" s="278"/>
      <c r="R19" s="309"/>
      <c r="S19" s="309"/>
      <c r="T19" s="286"/>
      <c r="U19" s="310"/>
      <c r="V19" s="310"/>
      <c r="W19" s="286"/>
      <c r="X19" s="358">
        <f>P15+Q15+T15+W15</f>
        <v>122428.94</v>
      </c>
      <c r="Y19" s="278">
        <f>X19-O19</f>
        <v>428.94000000000233</v>
      </c>
      <c r="Z19" s="392">
        <f t="shared" ref="Z19:Z60" si="6">X19/O19</f>
        <v>1.0035159016393442</v>
      </c>
      <c r="AA19" s="287">
        <f>SUM(AA15:AA18)</f>
        <v>132878</v>
      </c>
      <c r="AB19" s="330">
        <f>(AA19/X19)-1</f>
        <v>8.5347957762274218E-2</v>
      </c>
      <c r="AD19" s="365" t="s">
        <v>337</v>
      </c>
    </row>
    <row r="20" spans="2:30" ht="21.5" customHeight="1" x14ac:dyDescent="0.35">
      <c r="B20" s="308" t="s">
        <v>35</v>
      </c>
      <c r="C20" s="278"/>
      <c r="D20" s="278"/>
      <c r="E20" s="278"/>
      <c r="F20" s="278"/>
      <c r="G20" s="278"/>
      <c r="H20" s="278"/>
      <c r="I20" s="278"/>
      <c r="J20" s="278"/>
      <c r="K20" s="278"/>
      <c r="L20" s="278"/>
      <c r="M20" s="278"/>
      <c r="N20" s="278"/>
      <c r="O20" s="350"/>
      <c r="P20" s="278"/>
      <c r="Q20" s="278"/>
      <c r="R20" s="309"/>
      <c r="S20" s="309"/>
      <c r="T20" s="286"/>
      <c r="U20" s="310"/>
      <c r="V20" s="310"/>
      <c r="W20" s="286"/>
      <c r="X20" s="358"/>
      <c r="Y20" s="278"/>
      <c r="Z20" s="392"/>
      <c r="AA20" s="287"/>
      <c r="AB20" s="330"/>
    </row>
    <row r="21" spans="2:30" outlineLevel="1" x14ac:dyDescent="0.35">
      <c r="B21" s="311" t="s">
        <v>340</v>
      </c>
      <c r="C21" s="278">
        <v>6000</v>
      </c>
      <c r="D21" s="278">
        <v>1474.05</v>
      </c>
      <c r="E21" s="278">
        <v>181.66</v>
      </c>
      <c r="F21" s="278">
        <v>1094.74</v>
      </c>
      <c r="G21" s="278">
        <v>170.85</v>
      </c>
      <c r="H21" s="278">
        <f>SUM(D21:G21)</f>
        <v>2921.2999999999997</v>
      </c>
      <c r="I21" s="278">
        <v>3200</v>
      </c>
      <c r="J21" s="278">
        <v>1668.68</v>
      </c>
      <c r="K21" s="278">
        <v>59.94</v>
      </c>
      <c r="L21" s="278">
        <v>1173.04</v>
      </c>
      <c r="M21" s="278">
        <v>1041.23</v>
      </c>
      <c r="N21" s="278">
        <f>SUM(J21:M21)</f>
        <v>3942.89</v>
      </c>
      <c r="O21" s="350">
        <v>3300</v>
      </c>
      <c r="P21" s="278">
        <v>1704.39</v>
      </c>
      <c r="Q21" s="278">
        <v>239.11</v>
      </c>
      <c r="R21" s="309">
        <v>1094.74</v>
      </c>
      <c r="S21" s="309">
        <v>1173.04</v>
      </c>
      <c r="T21" s="286">
        <v>867</v>
      </c>
      <c r="U21" s="310">
        <v>170.85</v>
      </c>
      <c r="V21" s="310">
        <v>1041.23</v>
      </c>
      <c r="W21" s="286">
        <v>1200</v>
      </c>
      <c r="X21" s="358">
        <f>P21+Q21+T21+W21</f>
        <v>4010.5</v>
      </c>
      <c r="Y21" s="278">
        <f>X21-O21</f>
        <v>710.5</v>
      </c>
      <c r="Z21" s="392">
        <f t="shared" si="6"/>
        <v>1.2153030303030303</v>
      </c>
      <c r="AA21" s="287">
        <v>4000</v>
      </c>
      <c r="AB21" s="330">
        <f>(AA21/X21)-1</f>
        <v>-2.6181274155342438E-3</v>
      </c>
      <c r="AD21" s="365" t="s">
        <v>338</v>
      </c>
    </row>
    <row r="22" spans="2:30" outlineLevel="1" x14ac:dyDescent="0.35">
      <c r="B22" s="312" t="s">
        <v>341</v>
      </c>
      <c r="C22" s="273">
        <v>0</v>
      </c>
      <c r="D22" s="273">
        <f>'2024 Capital DRAFT Budget'!J5</f>
        <v>275069.01</v>
      </c>
      <c r="E22" s="273">
        <v>1113.52</v>
      </c>
      <c r="F22" s="273">
        <v>1128.67</v>
      </c>
      <c r="G22" s="273">
        <v>1051.53</v>
      </c>
      <c r="H22" s="273">
        <f>SUM(D22:G22)</f>
        <v>278362.73000000004</v>
      </c>
      <c r="I22" s="273">
        <v>4000</v>
      </c>
      <c r="J22" s="273">
        <v>1013.72</v>
      </c>
      <c r="K22" s="273">
        <v>1099.75</v>
      </c>
      <c r="L22" s="273">
        <v>1239.0899999999999</v>
      </c>
      <c r="M22" s="273">
        <v>891.68</v>
      </c>
      <c r="N22" s="273">
        <f>SUM(J22:M22)</f>
        <v>4244.2400000000007</v>
      </c>
      <c r="O22" s="351">
        <v>4500</v>
      </c>
      <c r="P22" s="273">
        <v>1265.67</v>
      </c>
      <c r="Q22" s="273">
        <v>988.95</v>
      </c>
      <c r="R22" s="291">
        <v>1128.67</v>
      </c>
      <c r="S22" s="291">
        <v>1239.0899999999999</v>
      </c>
      <c r="T22" s="274">
        <v>1074</v>
      </c>
      <c r="U22" s="292">
        <v>1051.53</v>
      </c>
      <c r="V22" s="292">
        <v>891.68</v>
      </c>
      <c r="W22" s="274">
        <v>1000</v>
      </c>
      <c r="X22" s="359">
        <f>P22+Q22+T22+W22</f>
        <v>4328.62</v>
      </c>
      <c r="Y22" s="273">
        <f>X22-O22</f>
        <v>-171.38000000000011</v>
      </c>
      <c r="Z22" s="393">
        <f t="shared" si="6"/>
        <v>0.96191555555555552</v>
      </c>
      <c r="AA22" s="272">
        <v>4500</v>
      </c>
      <c r="AB22" s="331">
        <f>(AA22/X22)-1</f>
        <v>3.9592295003950451E-2</v>
      </c>
    </row>
    <row r="23" spans="2:30" x14ac:dyDescent="0.35">
      <c r="B23" s="381" t="s">
        <v>42</v>
      </c>
      <c r="C23" s="278">
        <v>6000</v>
      </c>
      <c r="D23" s="278">
        <v>2587.4499999999998</v>
      </c>
      <c r="E23" s="278">
        <v>1295.18</v>
      </c>
      <c r="F23" s="278">
        <v>2223.41</v>
      </c>
      <c r="G23" s="278">
        <v>1222.3800000000001</v>
      </c>
      <c r="H23" s="278">
        <f>SUM(D23:G23)</f>
        <v>7328.42</v>
      </c>
      <c r="I23" s="278">
        <v>7200</v>
      </c>
      <c r="J23" s="278">
        <v>2682.4</v>
      </c>
      <c r="K23" s="278">
        <v>1159.69</v>
      </c>
      <c r="L23" s="278">
        <v>2412.13</v>
      </c>
      <c r="M23" s="278">
        <v>1932.91</v>
      </c>
      <c r="N23" s="278">
        <f>SUM(J23:M23)</f>
        <v>8187.13</v>
      </c>
      <c r="O23" s="350">
        <v>7800</v>
      </c>
      <c r="P23" s="278">
        <v>2970.06</v>
      </c>
      <c r="Q23" s="278">
        <v>1228.06</v>
      </c>
      <c r="R23" s="309">
        <v>2223.41</v>
      </c>
      <c r="S23" s="309">
        <v>2412.13</v>
      </c>
      <c r="T23" s="286">
        <f>SUM(T21:T22)</f>
        <v>1941</v>
      </c>
      <c r="U23" s="310">
        <v>1222.3800000000001</v>
      </c>
      <c r="V23" s="310">
        <v>1932.91</v>
      </c>
      <c r="W23" s="286">
        <f>SUM(W21:W22)</f>
        <v>2200</v>
      </c>
      <c r="X23" s="358">
        <f>P23+Q23+T23+W23</f>
        <v>8339.119999999999</v>
      </c>
      <c r="Y23" s="278">
        <f>X23-O23</f>
        <v>539.11999999999898</v>
      </c>
      <c r="Z23" s="392">
        <f t="shared" si="6"/>
        <v>1.0691179487179485</v>
      </c>
      <c r="AA23" s="287">
        <f>AA21+AA22</f>
        <v>8500</v>
      </c>
      <c r="AB23" s="330">
        <f>(AA23/X23)-1</f>
        <v>1.9292203493894045E-2</v>
      </c>
    </row>
    <row r="24" spans="2:30" x14ac:dyDescent="0.35">
      <c r="B24" s="382" t="s">
        <v>381</v>
      </c>
      <c r="C24" s="278">
        <v>1500</v>
      </c>
      <c r="D24" s="278">
        <v>286.04000000000002</v>
      </c>
      <c r="E24" s="278">
        <v>359.27</v>
      </c>
      <c r="F24" s="278">
        <v>262.01</v>
      </c>
      <c r="G24" s="278">
        <v>464.14</v>
      </c>
      <c r="H24" s="278">
        <f>SUM(D24:G24)</f>
        <v>1371.46</v>
      </c>
      <c r="I24" s="278">
        <v>1500</v>
      </c>
      <c r="J24" s="278">
        <v>712.13</v>
      </c>
      <c r="K24" s="278">
        <v>128.41</v>
      </c>
      <c r="L24" s="278">
        <v>552.49</v>
      </c>
      <c r="M24" s="278">
        <v>244.35</v>
      </c>
      <c r="N24" s="278">
        <f>SUM(J24:M24)</f>
        <v>1637.3799999999999</v>
      </c>
      <c r="O24" s="350">
        <v>1500</v>
      </c>
      <c r="P24" s="278">
        <v>424.81</v>
      </c>
      <c r="Q24" s="278">
        <v>386.24</v>
      </c>
      <c r="R24" s="309">
        <v>262.01</v>
      </c>
      <c r="S24" s="309">
        <v>552.49</v>
      </c>
      <c r="T24" s="286">
        <v>313</v>
      </c>
      <c r="U24" s="310">
        <v>464.14</v>
      </c>
      <c r="V24" s="310">
        <v>244.35</v>
      </c>
      <c r="W24" s="286">
        <v>300</v>
      </c>
      <c r="X24" s="358">
        <f>P24+Q24+T24+W24</f>
        <v>1424.05</v>
      </c>
      <c r="Y24" s="278">
        <f>X24-O24</f>
        <v>-75.950000000000045</v>
      </c>
      <c r="Z24" s="392">
        <f t="shared" si="6"/>
        <v>0.94936666666666658</v>
      </c>
      <c r="AA24" s="287">
        <v>1500</v>
      </c>
      <c r="AB24" s="330">
        <f>(AA24/X24)-1</f>
        <v>5.3333801481689536E-2</v>
      </c>
    </row>
    <row r="25" spans="2:30" x14ac:dyDescent="0.35">
      <c r="B25" s="311" t="s">
        <v>48</v>
      </c>
      <c r="C25" s="278">
        <v>3500</v>
      </c>
      <c r="D25" s="278">
        <f>-'2024 Capital DRAFT Budget'!J22</f>
        <v>-3500</v>
      </c>
      <c r="E25" s="278">
        <v>676.13</v>
      </c>
      <c r="F25" s="278">
        <v>738.04</v>
      </c>
      <c r="G25" s="278">
        <v>1088.24</v>
      </c>
      <c r="H25" s="278">
        <f>SUM(D25:G25)</f>
        <v>-997.58999999999992</v>
      </c>
      <c r="I25" s="278">
        <v>3550</v>
      </c>
      <c r="J25" s="278">
        <v>588.24</v>
      </c>
      <c r="K25" s="278">
        <v>588.24</v>
      </c>
      <c r="L25" s="278">
        <v>1092.57</v>
      </c>
      <c r="M25" s="278">
        <v>741.77</v>
      </c>
      <c r="N25" s="278">
        <f>SUM(J25:M25)</f>
        <v>3010.82</v>
      </c>
      <c r="O25" s="350">
        <v>3100</v>
      </c>
      <c r="P25" s="278">
        <v>588.24</v>
      </c>
      <c r="Q25" s="278">
        <v>588.24</v>
      </c>
      <c r="R25" s="309">
        <v>738.04</v>
      </c>
      <c r="S25" s="309">
        <v>1092.57</v>
      </c>
      <c r="T25" s="286">
        <v>1088</v>
      </c>
      <c r="U25" s="310">
        <v>1088.24</v>
      </c>
      <c r="V25" s="310">
        <v>741.77</v>
      </c>
      <c r="W25" s="286">
        <v>800</v>
      </c>
      <c r="X25" s="358">
        <f>P25+Q25+T25+W25</f>
        <v>3064.48</v>
      </c>
      <c r="Y25" s="278">
        <f>X25-O25</f>
        <v>-35.519999999999982</v>
      </c>
      <c r="Z25" s="392">
        <f t="shared" si="6"/>
        <v>0.98854193548387093</v>
      </c>
      <c r="AA25" s="287">
        <v>4000</v>
      </c>
      <c r="AB25" s="330">
        <f>(AA25/X25)-1</f>
        <v>0.30527854644181063</v>
      </c>
      <c r="AD25" s="365" t="s">
        <v>339</v>
      </c>
    </row>
    <row r="26" spans="2:30" x14ac:dyDescent="0.35">
      <c r="B26" s="311" t="s">
        <v>49</v>
      </c>
      <c r="C26" s="278">
        <v>250</v>
      </c>
      <c r="D26" s="278">
        <v>237.47</v>
      </c>
      <c r="E26" s="278">
        <v>110.1</v>
      </c>
      <c r="F26" s="278">
        <v>0</v>
      </c>
      <c r="G26" s="278">
        <v>270</v>
      </c>
      <c r="H26" s="278">
        <f t="shared" ref="H26:H42" si="7">SUM(D26:G26)</f>
        <v>617.56999999999994</v>
      </c>
      <c r="I26" s="278">
        <v>300</v>
      </c>
      <c r="J26" s="278">
        <v>0</v>
      </c>
      <c r="K26" s="278">
        <v>0</v>
      </c>
      <c r="L26" s="278">
        <v>0</v>
      </c>
      <c r="M26" s="278">
        <v>6.84</v>
      </c>
      <c r="N26" s="278">
        <f t="shared" ref="N26:N47" si="8">SUM(J26:M26)</f>
        <v>6.84</v>
      </c>
      <c r="O26" s="350">
        <v>500</v>
      </c>
      <c r="P26" s="278">
        <v>88.74</v>
      </c>
      <c r="Q26" s="278">
        <v>0</v>
      </c>
      <c r="R26" s="309">
        <v>0</v>
      </c>
      <c r="S26" s="309">
        <v>0</v>
      </c>
      <c r="T26" s="286">
        <v>0</v>
      </c>
      <c r="U26" s="310">
        <v>270</v>
      </c>
      <c r="V26" s="310">
        <v>6.84</v>
      </c>
      <c r="W26" s="286"/>
      <c r="X26" s="358">
        <f t="shared" ref="X26:X32" si="9">P26+Q26+T26+W26</f>
        <v>88.74</v>
      </c>
      <c r="Y26" s="278">
        <f t="shared" ref="Y26:Y33" si="10">X26-O26</f>
        <v>-411.26</v>
      </c>
      <c r="Z26" s="392">
        <f t="shared" si="6"/>
        <v>0.17748</v>
      </c>
      <c r="AA26" s="287">
        <v>200</v>
      </c>
      <c r="AB26" s="330">
        <f t="shared" ref="AB26:AB33" si="11">(AA26/X26)-1</f>
        <v>1.2537750732476902</v>
      </c>
    </row>
    <row r="27" spans="2:30" outlineLevel="1" x14ac:dyDescent="0.35">
      <c r="B27" s="311" t="s">
        <v>326</v>
      </c>
      <c r="C27" s="278">
        <v>3000</v>
      </c>
      <c r="D27" s="278">
        <f>-'2024 Capital DRAFT Budget'!J40</f>
        <v>-35019</v>
      </c>
      <c r="E27" s="278">
        <v>895.09</v>
      </c>
      <c r="F27" s="278">
        <v>940.28</v>
      </c>
      <c r="G27" s="278">
        <v>3129.84</v>
      </c>
      <c r="H27" s="278">
        <f t="shared" si="7"/>
        <v>-30053.790000000005</v>
      </c>
      <c r="I27" s="278">
        <v>2000</v>
      </c>
      <c r="J27" s="278">
        <v>5804.42</v>
      </c>
      <c r="K27" s="278">
        <v>2236.21</v>
      </c>
      <c r="L27" s="278">
        <v>-32.57</v>
      </c>
      <c r="M27" s="278">
        <v>0</v>
      </c>
      <c r="N27" s="278">
        <f t="shared" si="8"/>
        <v>8008.06</v>
      </c>
      <c r="O27" s="350">
        <v>2000</v>
      </c>
      <c r="P27" s="278">
        <v>0</v>
      </c>
      <c r="Q27" s="278">
        <v>0</v>
      </c>
      <c r="R27" s="309">
        <v>940.28</v>
      </c>
      <c r="S27" s="309">
        <v>-32.57</v>
      </c>
      <c r="T27" s="286">
        <v>0</v>
      </c>
      <c r="U27" s="310">
        <v>3129.84</v>
      </c>
      <c r="V27" s="310">
        <v>0</v>
      </c>
      <c r="W27" s="286"/>
      <c r="X27" s="358">
        <f t="shared" si="9"/>
        <v>0</v>
      </c>
      <c r="Y27" s="278">
        <f t="shared" si="10"/>
        <v>-2000</v>
      </c>
      <c r="Z27" s="392">
        <f t="shared" si="6"/>
        <v>0</v>
      </c>
      <c r="AA27" s="287">
        <v>500</v>
      </c>
      <c r="AB27" s="330"/>
    </row>
    <row r="28" spans="2:30" outlineLevel="1" x14ac:dyDescent="0.35">
      <c r="B28" s="311" t="s">
        <v>327</v>
      </c>
      <c r="C28" s="278">
        <v>3000</v>
      </c>
      <c r="D28" s="278">
        <f>-'2024 Capital DRAFT Budget'!J50</f>
        <v>-15000</v>
      </c>
      <c r="E28" s="278">
        <v>2095</v>
      </c>
      <c r="F28" s="278">
        <v>0</v>
      </c>
      <c r="G28" s="278">
        <v>0</v>
      </c>
      <c r="H28" s="278">
        <f t="shared" si="7"/>
        <v>-12905</v>
      </c>
      <c r="I28" s="278">
        <v>2500</v>
      </c>
      <c r="J28" s="278">
        <v>0</v>
      </c>
      <c r="K28" s="278">
        <v>2095</v>
      </c>
      <c r="L28" s="278">
        <v>0</v>
      </c>
      <c r="M28" s="278">
        <v>0</v>
      </c>
      <c r="N28" s="278">
        <f t="shared" si="8"/>
        <v>2095</v>
      </c>
      <c r="O28" s="350">
        <v>2250</v>
      </c>
      <c r="P28" s="278">
        <v>0</v>
      </c>
      <c r="Q28" s="278">
        <v>0</v>
      </c>
      <c r="R28" s="309">
        <v>0</v>
      </c>
      <c r="S28" s="309">
        <v>0</v>
      </c>
      <c r="T28" s="286">
        <v>1900</v>
      </c>
      <c r="U28" s="310">
        <v>0</v>
      </c>
      <c r="V28" s="310">
        <v>0</v>
      </c>
      <c r="W28" s="286">
        <v>0</v>
      </c>
      <c r="X28" s="358">
        <f t="shared" si="9"/>
        <v>1900</v>
      </c>
      <c r="Y28" s="278">
        <f t="shared" si="10"/>
        <v>-350</v>
      </c>
      <c r="Z28" s="392">
        <f t="shared" si="6"/>
        <v>0.84444444444444444</v>
      </c>
      <c r="AA28" s="287">
        <v>2000</v>
      </c>
      <c r="AB28" s="330">
        <f t="shared" si="11"/>
        <v>5.2631578947368363E-2</v>
      </c>
    </row>
    <row r="29" spans="2:30" outlineLevel="1" x14ac:dyDescent="0.35">
      <c r="B29" s="311" t="s">
        <v>325</v>
      </c>
      <c r="C29" s="278"/>
      <c r="D29" s="278"/>
      <c r="E29" s="278"/>
      <c r="F29" s="278"/>
      <c r="G29" s="278"/>
      <c r="H29" s="278"/>
      <c r="I29" s="278"/>
      <c r="J29" s="278"/>
      <c r="K29" s="278"/>
      <c r="L29" s="278"/>
      <c r="M29" s="278"/>
      <c r="N29" s="278"/>
      <c r="O29" s="350"/>
      <c r="P29" s="278"/>
      <c r="Q29" s="278"/>
      <c r="R29" s="309"/>
      <c r="S29" s="309"/>
      <c r="T29" s="286"/>
      <c r="U29" s="310"/>
      <c r="V29" s="310"/>
      <c r="W29" s="286"/>
      <c r="X29" s="358">
        <v>700</v>
      </c>
      <c r="Y29" s="278"/>
      <c r="Z29" s="392"/>
      <c r="AA29" s="287">
        <f>117*12</f>
        <v>1404</v>
      </c>
      <c r="AB29" s="330">
        <f t="shared" si="11"/>
        <v>1.0057142857142858</v>
      </c>
      <c r="AD29" s="400" t="s">
        <v>394</v>
      </c>
    </row>
    <row r="30" spans="2:30" outlineLevel="1" x14ac:dyDescent="0.35">
      <c r="B30" s="312" t="s">
        <v>328</v>
      </c>
      <c r="C30" s="273">
        <v>0</v>
      </c>
      <c r="D30" s="273">
        <f>-'2024 Capital DRAFT Budget'!J62</f>
        <v>-5435</v>
      </c>
      <c r="E30" s="273">
        <v>177.6</v>
      </c>
      <c r="F30" s="273">
        <v>119.85</v>
      </c>
      <c r="G30" s="273">
        <v>47.85</v>
      </c>
      <c r="H30" s="273">
        <f t="shared" si="7"/>
        <v>-5089.6999999999989</v>
      </c>
      <c r="I30" s="273">
        <v>350</v>
      </c>
      <c r="J30" s="273">
        <v>47.85</v>
      </c>
      <c r="K30" s="273">
        <v>107.85</v>
      </c>
      <c r="L30" s="273">
        <v>136.08000000000001</v>
      </c>
      <c r="M30" s="273">
        <v>81.36</v>
      </c>
      <c r="N30" s="273">
        <f t="shared" si="8"/>
        <v>373.14</v>
      </c>
      <c r="O30" s="351">
        <v>500</v>
      </c>
      <c r="P30" s="273">
        <v>62.85</v>
      </c>
      <c r="Q30" s="273">
        <v>77.849999999999994</v>
      </c>
      <c r="R30" s="291">
        <v>119.85</v>
      </c>
      <c r="S30" s="291">
        <v>136.08000000000001</v>
      </c>
      <c r="T30" s="274">
        <v>68</v>
      </c>
      <c r="U30" s="292">
        <v>47.85</v>
      </c>
      <c r="V30" s="292">
        <v>81.36</v>
      </c>
      <c r="W30" s="274">
        <v>100</v>
      </c>
      <c r="X30" s="359">
        <f t="shared" si="9"/>
        <v>308.7</v>
      </c>
      <c r="Y30" s="273">
        <f t="shared" si="10"/>
        <v>-191.3</v>
      </c>
      <c r="Z30" s="393">
        <f t="shared" si="6"/>
        <v>0.61739999999999995</v>
      </c>
      <c r="AA30" s="272">
        <v>400</v>
      </c>
      <c r="AB30" s="331">
        <f t="shared" si="11"/>
        <v>0.29575639779721419</v>
      </c>
    </row>
    <row r="31" spans="2:30" x14ac:dyDescent="0.35">
      <c r="B31" s="311" t="s">
        <v>281</v>
      </c>
      <c r="C31" s="278">
        <v>6000</v>
      </c>
      <c r="D31" s="278">
        <f>-'2024 Capital DRAFT Budget'!J81</f>
        <v>-4066</v>
      </c>
      <c r="E31" s="278">
        <v>3167.69</v>
      </c>
      <c r="F31" s="278">
        <v>1060.1300000000001</v>
      </c>
      <c r="G31" s="278">
        <v>3177.69</v>
      </c>
      <c r="H31" s="278">
        <f t="shared" si="7"/>
        <v>3339.51</v>
      </c>
      <c r="I31" s="278">
        <v>4850</v>
      </c>
      <c r="J31" s="278">
        <v>5852.27</v>
      </c>
      <c r="K31" s="278">
        <v>4439.0600000000004</v>
      </c>
      <c r="L31" s="278">
        <v>103.51</v>
      </c>
      <c r="M31" s="278">
        <v>81.36</v>
      </c>
      <c r="N31" s="278">
        <f t="shared" si="8"/>
        <v>10476.200000000003</v>
      </c>
      <c r="O31" s="350">
        <f>SUM(K31:N31)</f>
        <v>15100.130000000003</v>
      </c>
      <c r="P31" s="278">
        <v>62.85</v>
      </c>
      <c r="Q31" s="278">
        <v>77.849999999999994</v>
      </c>
      <c r="R31" s="309">
        <v>1060.1300000000001</v>
      </c>
      <c r="S31" s="309">
        <v>103.51</v>
      </c>
      <c r="T31" s="286">
        <f>SUM(T27:T30)</f>
        <v>1968</v>
      </c>
      <c r="U31" s="310">
        <v>3177.69</v>
      </c>
      <c r="V31" s="310">
        <v>81.36</v>
      </c>
      <c r="W31" s="286">
        <f>SUM(W27:W30)</f>
        <v>100</v>
      </c>
      <c r="X31" s="358">
        <f>P31+Q31+T31+W31</f>
        <v>2208.6999999999998</v>
      </c>
      <c r="Y31" s="278">
        <f t="shared" si="10"/>
        <v>-12891.430000000004</v>
      </c>
      <c r="Z31" s="392">
        <f t="shared" si="6"/>
        <v>0.14627026389839023</v>
      </c>
      <c r="AA31" s="287">
        <f>SUM(AA27:AA30)</f>
        <v>4304</v>
      </c>
      <c r="AB31" s="330">
        <f t="shared" si="11"/>
        <v>0.94865758138271405</v>
      </c>
    </row>
    <row r="32" spans="2:30" x14ac:dyDescent="0.35">
      <c r="B32" s="383" t="s">
        <v>46</v>
      </c>
      <c r="C32" s="273">
        <v>11000</v>
      </c>
      <c r="D32" s="273">
        <f>SUM(D25:D31)</f>
        <v>-62782.53</v>
      </c>
      <c r="E32" s="273">
        <v>1113</v>
      </c>
      <c r="F32" s="273">
        <v>100</v>
      </c>
      <c r="G32" s="273">
        <v>0</v>
      </c>
      <c r="H32" s="273">
        <f t="shared" si="7"/>
        <v>-61569.53</v>
      </c>
      <c r="I32" s="273">
        <v>12300</v>
      </c>
      <c r="J32" s="273">
        <v>0</v>
      </c>
      <c r="K32" s="273">
        <v>11103</v>
      </c>
      <c r="L32" s="273">
        <v>100</v>
      </c>
      <c r="M32" s="273">
        <v>0</v>
      </c>
      <c r="N32" s="273">
        <f t="shared" si="8"/>
        <v>11203</v>
      </c>
      <c r="O32" s="351">
        <v>11300</v>
      </c>
      <c r="P32" s="273">
        <v>0</v>
      </c>
      <c r="Q32" s="273">
        <v>15005</v>
      </c>
      <c r="R32" s="291">
        <v>100</v>
      </c>
      <c r="S32" s="291">
        <v>100</v>
      </c>
      <c r="T32" s="274">
        <v>100</v>
      </c>
      <c r="U32" s="292">
        <v>0</v>
      </c>
      <c r="V32" s="292">
        <v>0</v>
      </c>
      <c r="W32" s="274">
        <v>0</v>
      </c>
      <c r="X32" s="359">
        <f t="shared" si="9"/>
        <v>15105</v>
      </c>
      <c r="Y32" s="273">
        <f t="shared" si="10"/>
        <v>3805</v>
      </c>
      <c r="Z32" s="393">
        <f t="shared" si="6"/>
        <v>1.3367256637168141</v>
      </c>
      <c r="AA32" s="272">
        <v>16000</v>
      </c>
      <c r="AB32" s="331">
        <f t="shared" si="11"/>
        <v>5.9251903343263912E-2</v>
      </c>
    </row>
    <row r="33" spans="2:34" s="290" customFormat="1" x14ac:dyDescent="0.35">
      <c r="B33" s="308" t="s">
        <v>53</v>
      </c>
      <c r="C33" s="313">
        <v>28250</v>
      </c>
      <c r="D33" s="313">
        <v>15365.97</v>
      </c>
      <c r="E33" s="313">
        <v>6721.37</v>
      </c>
      <c r="F33" s="313">
        <v>4383.59</v>
      </c>
      <c r="G33" s="313">
        <v>6222.45</v>
      </c>
      <c r="H33" s="313">
        <f t="shared" si="7"/>
        <v>32693.38</v>
      </c>
      <c r="I33" s="313">
        <v>29700</v>
      </c>
      <c r="J33" s="313">
        <v>9835.0400000000009</v>
      </c>
      <c r="K33" s="313">
        <v>17418.400000000001</v>
      </c>
      <c r="L33" s="313">
        <v>4260.7</v>
      </c>
      <c r="M33" s="313">
        <v>3007.23</v>
      </c>
      <c r="N33" s="313">
        <f t="shared" si="8"/>
        <v>34521.370000000003</v>
      </c>
      <c r="O33" s="352">
        <v>28950</v>
      </c>
      <c r="P33" s="315">
        <f>P32+P31+P26+P25+P24+P23</f>
        <v>4134.7</v>
      </c>
      <c r="Q33" s="315">
        <f>Q32+Q31+Q26+Q25+Q24+Q23</f>
        <v>17285.39</v>
      </c>
      <c r="R33" s="315">
        <f>R32+R31+R26+R25+R24+R23</f>
        <v>4383.59</v>
      </c>
      <c r="S33" s="315">
        <f>S32+S31+S26+S25+S24+S23</f>
        <v>4260.7</v>
      </c>
      <c r="T33" s="315">
        <f>T32+T31+T26+T25+T24+T23</f>
        <v>5410</v>
      </c>
      <c r="U33" s="316">
        <v>6222.45</v>
      </c>
      <c r="V33" s="316">
        <v>3007.23</v>
      </c>
      <c r="W33" s="315">
        <f>W32+W31+W26+W25+W24+W23</f>
        <v>3400</v>
      </c>
      <c r="X33" s="360">
        <f>X32+X31+X26+X25+X24+X23</f>
        <v>30230.09</v>
      </c>
      <c r="Y33" s="313">
        <f t="shared" si="10"/>
        <v>1280.0900000000001</v>
      </c>
      <c r="Z33" s="394">
        <f t="shared" si="6"/>
        <v>1.0442172711571676</v>
      </c>
      <c r="AA33" s="317">
        <f>AA32+AA31+AA26+AA25+AA24+AA23</f>
        <v>34504</v>
      </c>
      <c r="AB33" s="321">
        <f t="shared" si="11"/>
        <v>0.14137933429903771</v>
      </c>
      <c r="AD33" s="367"/>
    </row>
    <row r="34" spans="2:34" ht="20.75" customHeight="1" x14ac:dyDescent="0.35">
      <c r="B34" s="308" t="s">
        <v>54</v>
      </c>
      <c r="C34" s="278"/>
      <c r="D34" s="278"/>
      <c r="E34" s="278"/>
      <c r="F34" s="278"/>
      <c r="G34" s="278"/>
      <c r="H34" s="278">
        <f t="shared" si="7"/>
        <v>0</v>
      </c>
      <c r="I34" s="278"/>
      <c r="J34" s="278"/>
      <c r="K34" s="278"/>
      <c r="L34" s="278"/>
      <c r="M34" s="278"/>
      <c r="N34" s="278">
        <f t="shared" si="8"/>
        <v>0</v>
      </c>
      <c r="O34" s="350"/>
      <c r="P34" s="278"/>
      <c r="Q34" s="278"/>
      <c r="R34" s="309"/>
      <c r="S34" s="309"/>
      <c r="T34" s="286"/>
      <c r="U34" s="310"/>
      <c r="V34" s="310"/>
      <c r="W34" s="286"/>
      <c r="X34" s="358"/>
      <c r="Y34" s="278"/>
      <c r="Z34" s="392"/>
      <c r="AA34" s="287"/>
      <c r="AB34" s="330"/>
      <c r="AH34" s="290"/>
    </row>
    <row r="35" spans="2:34" x14ac:dyDescent="0.35">
      <c r="B35" s="311" t="s">
        <v>55</v>
      </c>
      <c r="C35" s="278">
        <v>1000</v>
      </c>
      <c r="D35" s="278">
        <v>757.23</v>
      </c>
      <c r="E35" s="278">
        <v>0</v>
      </c>
      <c r="F35" s="278">
        <v>1740</v>
      </c>
      <c r="G35" s="278">
        <v>0</v>
      </c>
      <c r="H35" s="278">
        <f t="shared" si="7"/>
        <v>2497.23</v>
      </c>
      <c r="I35" s="278">
        <v>7000</v>
      </c>
      <c r="J35" s="278">
        <v>0</v>
      </c>
      <c r="K35" s="278">
        <v>0</v>
      </c>
      <c r="L35" s="278">
        <v>0</v>
      </c>
      <c r="M35" s="278">
        <v>17820</v>
      </c>
      <c r="N35" s="278">
        <f t="shared" si="8"/>
        <v>17820</v>
      </c>
      <c r="O35" s="350">
        <v>1000</v>
      </c>
      <c r="P35" s="278">
        <v>0</v>
      </c>
      <c r="Q35" s="278">
        <v>510</v>
      </c>
      <c r="R35" s="309">
        <v>1740</v>
      </c>
      <c r="S35" s="309">
        <v>0</v>
      </c>
      <c r="T35" s="286">
        <v>5040</v>
      </c>
      <c r="U35" s="310">
        <v>0</v>
      </c>
      <c r="V35" s="310">
        <v>17820</v>
      </c>
      <c r="W35" s="286">
        <v>0</v>
      </c>
      <c r="X35" s="358">
        <f>P35+Q35+T35+W35</f>
        <v>5550</v>
      </c>
      <c r="Y35" s="278">
        <f t="shared" ref="Y35:Y47" si="12">X35-O35</f>
        <v>4550</v>
      </c>
      <c r="Z35" s="392">
        <f t="shared" si="6"/>
        <v>5.55</v>
      </c>
      <c r="AA35" s="287">
        <v>1500</v>
      </c>
      <c r="AB35" s="330">
        <f t="shared" ref="AB35:AB47" si="13">(AA35/X35)-1</f>
        <v>-0.72972972972972971</v>
      </c>
      <c r="AD35" s="365" t="s">
        <v>342</v>
      </c>
      <c r="AH35" s="290"/>
    </row>
    <row r="36" spans="2:34" outlineLevel="1" x14ac:dyDescent="0.35">
      <c r="B36" s="311" t="s">
        <v>329</v>
      </c>
      <c r="C36" s="278">
        <v>1500</v>
      </c>
      <c r="D36" s="278">
        <v>808.14</v>
      </c>
      <c r="E36" s="278">
        <v>0</v>
      </c>
      <c r="F36" s="278">
        <v>303.51</v>
      </c>
      <c r="G36" s="278">
        <v>679.05</v>
      </c>
      <c r="H36" s="313">
        <f t="shared" si="7"/>
        <v>1790.7</v>
      </c>
      <c r="I36" s="278">
        <v>1500</v>
      </c>
      <c r="J36" s="278">
        <v>283.89</v>
      </c>
      <c r="K36" s="278">
        <v>437.69</v>
      </c>
      <c r="L36" s="278">
        <v>0</v>
      </c>
      <c r="M36" s="278">
        <v>868.43</v>
      </c>
      <c r="N36" s="278">
        <f t="shared" si="8"/>
        <v>1590.0099999999998</v>
      </c>
      <c r="O36" s="350">
        <v>2500</v>
      </c>
      <c r="P36" s="278">
        <v>801.52</v>
      </c>
      <c r="Q36" s="278">
        <v>801.52</v>
      </c>
      <c r="R36" s="309">
        <v>303.51</v>
      </c>
      <c r="S36" s="309">
        <v>0</v>
      </c>
      <c r="T36" s="286">
        <v>0</v>
      </c>
      <c r="U36" s="310">
        <v>679.05</v>
      </c>
      <c r="V36" s="310">
        <v>868.43</v>
      </c>
      <c r="W36" s="286">
        <v>650</v>
      </c>
      <c r="X36" s="358">
        <f t="shared" ref="X36:X47" si="14">P36+Q36+T36+W36</f>
        <v>2253.04</v>
      </c>
      <c r="Y36" s="278">
        <f t="shared" si="12"/>
        <v>-246.96000000000004</v>
      </c>
      <c r="Z36" s="392">
        <f t="shared" si="6"/>
        <v>0.90121600000000002</v>
      </c>
      <c r="AA36" s="339">
        <v>4000</v>
      </c>
      <c r="AB36" s="330">
        <f t="shared" si="13"/>
        <v>0.77537904342577146</v>
      </c>
      <c r="AH36" s="290"/>
    </row>
    <row r="37" spans="2:34" outlineLevel="1" x14ac:dyDescent="0.35">
      <c r="B37" s="312" t="s">
        <v>330</v>
      </c>
      <c r="C37" s="273">
        <v>2500</v>
      </c>
      <c r="D37" s="273">
        <f>'2024 Capital DRAFT Budget'!P5</f>
        <v>-76645.88</v>
      </c>
      <c r="E37" s="273">
        <v>428.8</v>
      </c>
      <c r="F37" s="273">
        <v>427.8</v>
      </c>
      <c r="G37" s="273">
        <v>427.8</v>
      </c>
      <c r="H37" s="273">
        <f t="shared" si="7"/>
        <v>-75361.48</v>
      </c>
      <c r="I37" s="273">
        <v>2500</v>
      </c>
      <c r="J37" s="273">
        <v>1016.67</v>
      </c>
      <c r="K37" s="273">
        <v>1049.8</v>
      </c>
      <c r="L37" s="273">
        <v>1281.1400000000001</v>
      </c>
      <c r="M37" s="273">
        <v>454.8</v>
      </c>
      <c r="N37" s="273">
        <f t="shared" si="8"/>
        <v>3802.41</v>
      </c>
      <c r="O37" s="351">
        <v>2350</v>
      </c>
      <c r="P37" s="273">
        <v>1127.8</v>
      </c>
      <c r="Q37" s="273">
        <v>1880.67</v>
      </c>
      <c r="R37" s="291">
        <v>427.8</v>
      </c>
      <c r="S37" s="291">
        <v>1281.1400000000001</v>
      </c>
      <c r="T37" s="274">
        <v>544</v>
      </c>
      <c r="U37" s="292">
        <v>427.8</v>
      </c>
      <c r="V37" s="292">
        <v>454.8</v>
      </c>
      <c r="W37" s="274">
        <v>900</v>
      </c>
      <c r="X37" s="359">
        <f t="shared" si="14"/>
        <v>4452.47</v>
      </c>
      <c r="Y37" s="273">
        <f t="shared" si="12"/>
        <v>2102.4700000000003</v>
      </c>
      <c r="Z37" s="393">
        <f t="shared" si="6"/>
        <v>1.8946680851063831</v>
      </c>
      <c r="AA37" s="272">
        <v>5581</v>
      </c>
      <c r="AB37" s="331">
        <f t="shared" si="13"/>
        <v>0.25346156178480705</v>
      </c>
      <c r="AH37" s="290"/>
    </row>
    <row r="38" spans="2:34" x14ac:dyDescent="0.35">
      <c r="B38" s="381" t="s">
        <v>314</v>
      </c>
      <c r="C38" s="278">
        <v>4000</v>
      </c>
      <c r="D38" s="278">
        <f>'2024 Capital DRAFT Budget'!P7+'2024 Capital DRAFT Budget'!P8+'2024 Capital DRAFT Budget'!P10</f>
        <v>81220.52</v>
      </c>
      <c r="E38" s="278">
        <v>428.8</v>
      </c>
      <c r="F38" s="278">
        <v>731.31</v>
      </c>
      <c r="G38" s="278">
        <v>1106.8499999999999</v>
      </c>
      <c r="H38" s="278">
        <f t="shared" si="7"/>
        <v>83487.48000000001</v>
      </c>
      <c r="I38" s="278">
        <v>4000</v>
      </c>
      <c r="J38" s="278">
        <v>1300.56</v>
      </c>
      <c r="K38" s="278">
        <v>1487.49</v>
      </c>
      <c r="L38" s="278">
        <v>1281.1400000000001</v>
      </c>
      <c r="M38" s="278">
        <v>1323.23</v>
      </c>
      <c r="N38" s="278">
        <f t="shared" si="8"/>
        <v>5392.42</v>
      </c>
      <c r="O38" s="350">
        <v>4850</v>
      </c>
      <c r="P38" s="278">
        <v>1929.32</v>
      </c>
      <c r="Q38" s="278">
        <v>2682.19</v>
      </c>
      <c r="R38" s="278">
        <v>2682.19</v>
      </c>
      <c r="S38" s="278">
        <v>2682.19</v>
      </c>
      <c r="T38" s="286">
        <f>SUM(T36:T37)</f>
        <v>544</v>
      </c>
      <c r="U38" s="286">
        <f t="shared" ref="U38:V38" si="15">SUM(U35:U37)</f>
        <v>1106.8499999999999</v>
      </c>
      <c r="V38" s="286">
        <f t="shared" si="15"/>
        <v>19143.23</v>
      </c>
      <c r="W38" s="286">
        <f>SUM(W36:W37)</f>
        <v>1550</v>
      </c>
      <c r="X38" s="358">
        <f>P38+Q38+T38+W38</f>
        <v>6705.51</v>
      </c>
      <c r="Y38" s="278">
        <f t="shared" si="12"/>
        <v>1855.5100000000002</v>
      </c>
      <c r="Z38" s="392">
        <f t="shared" si="6"/>
        <v>1.3825793814432989</v>
      </c>
      <c r="AA38" s="287">
        <f>AA37+AA36</f>
        <v>9581</v>
      </c>
      <c r="AB38" s="330">
        <f t="shared" si="13"/>
        <v>0.42882495142054822</v>
      </c>
      <c r="AD38" s="365" t="s">
        <v>343</v>
      </c>
      <c r="AH38" s="290"/>
    </row>
    <row r="39" spans="2:34" outlineLevel="1" x14ac:dyDescent="0.35">
      <c r="B39" s="311" t="s">
        <v>58</v>
      </c>
      <c r="C39" s="278">
        <v>11000</v>
      </c>
      <c r="D39" s="278">
        <v>4598.46</v>
      </c>
      <c r="E39" s="278">
        <v>2590.61</v>
      </c>
      <c r="F39" s="278">
        <v>3339.59</v>
      </c>
      <c r="G39" s="278">
        <v>3039.04</v>
      </c>
      <c r="H39" s="278">
        <f t="shared" si="7"/>
        <v>13567.7</v>
      </c>
      <c r="I39" s="278">
        <v>15000</v>
      </c>
      <c r="J39" s="278">
        <v>4194.7</v>
      </c>
      <c r="K39" s="278">
        <v>3006.63</v>
      </c>
      <c r="L39" s="278">
        <v>3632.06</v>
      </c>
      <c r="M39" s="278">
        <v>2954.29</v>
      </c>
      <c r="N39" s="278">
        <f t="shared" si="8"/>
        <v>13787.68</v>
      </c>
      <c r="O39" s="350">
        <v>15000</v>
      </c>
      <c r="P39" s="278">
        <v>4416.33</v>
      </c>
      <c r="Q39" s="278">
        <v>3383.91</v>
      </c>
      <c r="R39" s="309">
        <v>3339.59</v>
      </c>
      <c r="S39" s="309">
        <v>3632.06</v>
      </c>
      <c r="T39" s="286">
        <v>4443</v>
      </c>
      <c r="U39" s="310">
        <v>3039.04</v>
      </c>
      <c r="V39" s="310">
        <v>2954.29</v>
      </c>
      <c r="W39" s="286">
        <v>3100</v>
      </c>
      <c r="X39" s="358">
        <f t="shared" si="14"/>
        <v>15343.24</v>
      </c>
      <c r="Y39" s="278">
        <f t="shared" si="12"/>
        <v>343.23999999999978</v>
      </c>
      <c r="Z39" s="392">
        <f t="shared" si="6"/>
        <v>1.0228826666666666</v>
      </c>
      <c r="AA39" s="339">
        <v>14300</v>
      </c>
      <c r="AB39" s="330">
        <f t="shared" si="13"/>
        <v>-6.7993461615669215E-2</v>
      </c>
      <c r="AH39" s="290"/>
    </row>
    <row r="40" spans="2:34" outlineLevel="1" x14ac:dyDescent="0.35">
      <c r="B40" s="311" t="s">
        <v>382</v>
      </c>
      <c r="C40" s="278">
        <v>0</v>
      </c>
      <c r="D40" s="278">
        <f>'2024 Capital DRAFT Budget'!P9-'2024 Capital DRAFT Budget'!P80</f>
        <v>27147</v>
      </c>
      <c r="E40" s="278">
        <v>266.51</v>
      </c>
      <c r="F40" s="278">
        <v>315.77999999999997</v>
      </c>
      <c r="G40" s="278">
        <v>0</v>
      </c>
      <c r="H40" s="278">
        <f t="shared" si="7"/>
        <v>27729.289999999997</v>
      </c>
      <c r="I40" s="278">
        <v>1000</v>
      </c>
      <c r="J40" s="278">
        <v>0</v>
      </c>
      <c r="K40" s="278">
        <v>0</v>
      </c>
      <c r="L40" s="278">
        <v>518.73</v>
      </c>
      <c r="M40" s="278">
        <v>1087.79</v>
      </c>
      <c r="N40" s="278">
        <f t="shared" si="8"/>
        <v>1606.52</v>
      </c>
      <c r="O40" s="350">
        <v>1000</v>
      </c>
      <c r="P40" s="278">
        <v>0</v>
      </c>
      <c r="Q40" s="278">
        <v>0</v>
      </c>
      <c r="R40" s="309">
        <v>315.77999999999997</v>
      </c>
      <c r="S40" s="309">
        <v>518.73</v>
      </c>
      <c r="T40" s="286">
        <v>0</v>
      </c>
      <c r="U40" s="310">
        <v>0</v>
      </c>
      <c r="V40" s="310">
        <v>1087.79</v>
      </c>
      <c r="W40" s="286">
        <v>0</v>
      </c>
      <c r="X40" s="358">
        <f t="shared" si="14"/>
        <v>0</v>
      </c>
      <c r="Y40" s="278">
        <f t="shared" si="12"/>
        <v>-1000</v>
      </c>
      <c r="Z40" s="392">
        <f t="shared" si="6"/>
        <v>0</v>
      </c>
      <c r="AA40" s="287">
        <v>1600</v>
      </c>
      <c r="AB40" s="407" t="s">
        <v>398</v>
      </c>
      <c r="AD40" s="365" t="s">
        <v>344</v>
      </c>
    </row>
    <row r="41" spans="2:34" outlineLevel="1" x14ac:dyDescent="0.35">
      <c r="B41" s="382" t="s">
        <v>60</v>
      </c>
      <c r="C41" s="278">
        <v>11000</v>
      </c>
      <c r="D41" s="278">
        <v>4608.46</v>
      </c>
      <c r="E41" s="278">
        <v>2857.12</v>
      </c>
      <c r="F41" s="273">
        <v>0</v>
      </c>
      <c r="G41" s="273">
        <v>0</v>
      </c>
      <c r="H41" s="273">
        <f>SUM(F41:G41)</f>
        <v>0</v>
      </c>
      <c r="I41" s="273">
        <v>170</v>
      </c>
      <c r="J41" s="273">
        <v>42</v>
      </c>
      <c r="K41" s="273">
        <v>42</v>
      </c>
      <c r="L41" s="273">
        <v>42</v>
      </c>
      <c r="M41" s="273">
        <v>42</v>
      </c>
      <c r="N41" s="273">
        <f t="shared" si="8"/>
        <v>168</v>
      </c>
      <c r="O41" s="351">
        <v>170</v>
      </c>
      <c r="P41" s="273">
        <v>42</v>
      </c>
      <c r="Q41" s="273">
        <v>42</v>
      </c>
      <c r="R41" s="291">
        <v>0</v>
      </c>
      <c r="S41" s="291">
        <v>42</v>
      </c>
      <c r="T41" s="274">
        <v>42</v>
      </c>
      <c r="U41" s="292">
        <v>0</v>
      </c>
      <c r="V41" s="292">
        <v>42</v>
      </c>
      <c r="W41" s="274">
        <v>42</v>
      </c>
      <c r="X41" s="359">
        <f t="shared" si="14"/>
        <v>168</v>
      </c>
      <c r="Y41" s="273">
        <f t="shared" si="12"/>
        <v>-2</v>
      </c>
      <c r="Z41" s="393">
        <f t="shared" si="6"/>
        <v>0.9882352941176471</v>
      </c>
      <c r="AA41" s="272">
        <v>170</v>
      </c>
      <c r="AB41" s="331">
        <f t="shared" si="13"/>
        <v>1.1904761904761862E-2</v>
      </c>
    </row>
    <row r="42" spans="2:34" x14ac:dyDescent="0.35">
      <c r="B42" s="312" t="s">
        <v>383</v>
      </c>
      <c r="C42" s="273"/>
      <c r="D42" s="273">
        <f>-'2024 Capital DRAFT Budget'!P16-'2024 Capital DRAFT Budget'!P17</f>
        <v>-50236</v>
      </c>
      <c r="E42" s="273">
        <v>0</v>
      </c>
      <c r="F42" s="278">
        <v>3655.37</v>
      </c>
      <c r="G42" s="278">
        <v>3039.04</v>
      </c>
      <c r="H42" s="278">
        <f t="shared" si="7"/>
        <v>-43541.59</v>
      </c>
      <c r="I42" s="278">
        <v>16170</v>
      </c>
      <c r="J42" s="278">
        <v>4236.7</v>
      </c>
      <c r="K42" s="278">
        <v>3048.63</v>
      </c>
      <c r="L42" s="278">
        <v>4192.79</v>
      </c>
      <c r="M42" s="278">
        <v>4084.08</v>
      </c>
      <c r="N42" s="278">
        <f t="shared" si="8"/>
        <v>15562.199999999999</v>
      </c>
      <c r="O42" s="350">
        <v>16170</v>
      </c>
      <c r="P42" s="278">
        <v>4458.33</v>
      </c>
      <c r="Q42" s="278">
        <v>3425.91</v>
      </c>
      <c r="R42" s="309">
        <v>3655.37</v>
      </c>
      <c r="S42" s="309">
        <v>4192.79</v>
      </c>
      <c r="T42" s="286">
        <f>SUM(T39:T41)</f>
        <v>4485</v>
      </c>
      <c r="U42" s="310">
        <v>3039.04</v>
      </c>
      <c r="V42" s="310">
        <v>4084.08</v>
      </c>
      <c r="W42" s="286">
        <f>SUM(W39:W41)</f>
        <v>3142</v>
      </c>
      <c r="X42" s="358">
        <f>P42+Q42+T42+W42</f>
        <v>15511.24</v>
      </c>
      <c r="Y42" s="278">
        <f t="shared" si="12"/>
        <v>-658.76000000000022</v>
      </c>
      <c r="Z42" s="392">
        <f t="shared" si="6"/>
        <v>0.95926035868893011</v>
      </c>
      <c r="AA42" s="287">
        <f>SUM(AA39:AA41)</f>
        <v>16070</v>
      </c>
      <c r="AB42" s="330">
        <f t="shared" si="13"/>
        <v>3.6022909838284933E-2</v>
      </c>
    </row>
    <row r="43" spans="2:34" outlineLevel="1" x14ac:dyDescent="0.35">
      <c r="B43" s="311" t="s">
        <v>280</v>
      </c>
      <c r="C43" s="278"/>
      <c r="D43" s="278">
        <v>0</v>
      </c>
      <c r="E43" s="278"/>
      <c r="F43" s="278"/>
      <c r="G43" s="278"/>
      <c r="H43" s="278"/>
      <c r="I43" s="278"/>
      <c r="J43" s="278"/>
      <c r="K43" s="278"/>
      <c r="L43" s="278"/>
      <c r="M43" s="278">
        <v>5052</v>
      </c>
      <c r="N43" s="278">
        <f t="shared" si="8"/>
        <v>5052</v>
      </c>
      <c r="O43" s="350"/>
      <c r="P43" s="278">
        <v>5136</v>
      </c>
      <c r="Q43" s="278"/>
      <c r="R43" s="309"/>
      <c r="S43" s="309"/>
      <c r="T43" s="286"/>
      <c r="U43" s="310"/>
      <c r="V43" s="310"/>
      <c r="W43" s="286"/>
      <c r="X43" s="358">
        <f t="shared" si="14"/>
        <v>5136</v>
      </c>
      <c r="Y43" s="278">
        <f t="shared" si="12"/>
        <v>5136</v>
      </c>
      <c r="Z43" s="408" t="s">
        <v>398</v>
      </c>
      <c r="AA43" s="287">
        <v>500</v>
      </c>
      <c r="AB43" s="330">
        <f t="shared" si="13"/>
        <v>-0.90264797507788164</v>
      </c>
      <c r="AD43" s="365" t="s">
        <v>345</v>
      </c>
    </row>
    <row r="44" spans="2:34" outlineLevel="1" x14ac:dyDescent="0.35">
      <c r="B44" s="311" t="s">
        <v>68</v>
      </c>
      <c r="C44" s="278">
        <v>4500</v>
      </c>
      <c r="D44" s="278">
        <f>-'2024 Capital DRAFT Budget'!P28</f>
        <v>-50</v>
      </c>
      <c r="E44" s="278">
        <v>525.52</v>
      </c>
      <c r="F44" s="278">
        <v>31.37</v>
      </c>
      <c r="G44" s="278">
        <v>956.56</v>
      </c>
      <c r="H44" s="278">
        <f>SUM(D44:G44)</f>
        <v>1463.4499999999998</v>
      </c>
      <c r="I44" s="278">
        <v>4500</v>
      </c>
      <c r="J44" s="278">
        <v>1146.6099999999999</v>
      </c>
      <c r="K44" s="278">
        <v>2536.39</v>
      </c>
      <c r="L44" s="278">
        <v>0</v>
      </c>
      <c r="M44" s="278">
        <v>93.85</v>
      </c>
      <c r="N44" s="278">
        <f t="shared" si="8"/>
        <v>3776.85</v>
      </c>
      <c r="O44" s="350">
        <v>1000</v>
      </c>
      <c r="P44" s="278">
        <v>1186.99</v>
      </c>
      <c r="Q44" s="278">
        <v>29.43</v>
      </c>
      <c r="R44" s="309">
        <v>31.37</v>
      </c>
      <c r="S44" s="309">
        <v>0</v>
      </c>
      <c r="T44" s="286">
        <v>234</v>
      </c>
      <c r="U44" s="310">
        <v>956.56</v>
      </c>
      <c r="V44" s="310">
        <v>93.85</v>
      </c>
      <c r="W44" s="286">
        <v>200</v>
      </c>
      <c r="X44" s="358">
        <f t="shared" si="14"/>
        <v>1650.42</v>
      </c>
      <c r="Y44" s="278">
        <f t="shared" si="12"/>
        <v>650.42000000000007</v>
      </c>
      <c r="Z44" s="392">
        <f t="shared" si="6"/>
        <v>1.65042</v>
      </c>
      <c r="AA44" s="287">
        <v>2000</v>
      </c>
      <c r="AB44" s="330">
        <f t="shared" si="13"/>
        <v>0.21181275069376282</v>
      </c>
    </row>
    <row r="45" spans="2:34" outlineLevel="1" x14ac:dyDescent="0.35">
      <c r="B45" s="312" t="s">
        <v>279</v>
      </c>
      <c r="C45" s="273">
        <v>15000</v>
      </c>
      <c r="D45" s="273">
        <v>8137.69</v>
      </c>
      <c r="E45" s="273">
        <v>0</v>
      </c>
      <c r="F45" s="273">
        <v>22</v>
      </c>
      <c r="G45" s="273">
        <v>181.05</v>
      </c>
      <c r="H45" s="273">
        <f>SUM(D45:G45)</f>
        <v>8340.74</v>
      </c>
      <c r="I45" s="273">
        <v>15000</v>
      </c>
      <c r="J45" s="273">
        <v>5793.57</v>
      </c>
      <c r="K45" s="273">
        <v>3989.69</v>
      </c>
      <c r="L45" s="273">
        <v>5032.4799999999996</v>
      </c>
      <c r="M45" s="273">
        <v>-55.78</v>
      </c>
      <c r="N45" s="273">
        <f t="shared" si="8"/>
        <v>14759.96</v>
      </c>
      <c r="O45" s="351">
        <v>15000</v>
      </c>
      <c r="P45" s="273">
        <v>2239.3000000000002</v>
      </c>
      <c r="Q45" s="273">
        <v>5159.2299999999996</v>
      </c>
      <c r="R45" s="291">
        <v>22</v>
      </c>
      <c r="S45" s="291">
        <v>5032.4799999999996</v>
      </c>
      <c r="T45" s="274">
        <v>368</v>
      </c>
      <c r="U45" s="292">
        <v>181.05</v>
      </c>
      <c r="V45" s="292">
        <v>-55.78</v>
      </c>
      <c r="W45" s="274">
        <v>2500</v>
      </c>
      <c r="X45" s="359">
        <f t="shared" si="14"/>
        <v>10266.529999999999</v>
      </c>
      <c r="Y45" s="273">
        <f t="shared" si="12"/>
        <v>-4733.4700000000012</v>
      </c>
      <c r="Z45" s="393">
        <f t="shared" si="6"/>
        <v>0.68443533333333328</v>
      </c>
      <c r="AA45" s="272">
        <v>15000</v>
      </c>
      <c r="AB45" s="331">
        <f t="shared" si="13"/>
        <v>0.46105841019312277</v>
      </c>
      <c r="AD45" s="365" t="s">
        <v>346</v>
      </c>
    </row>
    <row r="46" spans="2:34" x14ac:dyDescent="0.35">
      <c r="B46" s="382" t="s">
        <v>309</v>
      </c>
      <c r="C46" s="278">
        <v>19500</v>
      </c>
      <c r="D46" s="278">
        <f>SUM(D42:D45)</f>
        <v>-42148.31</v>
      </c>
      <c r="E46" s="278">
        <v>525.52</v>
      </c>
      <c r="F46" s="278">
        <v>53.37</v>
      </c>
      <c r="G46" s="278">
        <v>1137.6099999999999</v>
      </c>
      <c r="H46" s="278">
        <f>SUM(D46:G46)</f>
        <v>-40431.81</v>
      </c>
      <c r="I46" s="278">
        <v>19500</v>
      </c>
      <c r="J46" s="278">
        <v>6940.18</v>
      </c>
      <c r="K46" s="278">
        <v>6526.08</v>
      </c>
      <c r="L46" s="278">
        <v>5032.4799999999996</v>
      </c>
      <c r="M46" s="278">
        <v>5090.45</v>
      </c>
      <c r="N46" s="278">
        <f t="shared" si="8"/>
        <v>23589.19</v>
      </c>
      <c r="O46" s="350">
        <v>16000</v>
      </c>
      <c r="P46" s="278">
        <v>8562.3700000000008</v>
      </c>
      <c r="Q46" s="278">
        <v>5188.66</v>
      </c>
      <c r="R46" s="309">
        <v>53.37</v>
      </c>
      <c r="S46" s="309">
        <v>5032.4799999999996</v>
      </c>
      <c r="T46" s="286">
        <f>SUM(T43:T45)</f>
        <v>602</v>
      </c>
      <c r="U46" s="310">
        <v>1137.6099999999999</v>
      </c>
      <c r="V46" s="310">
        <v>5090.45</v>
      </c>
      <c r="W46" s="286">
        <f>SUM(W43:W45)</f>
        <v>2700</v>
      </c>
      <c r="X46" s="358">
        <f>P46+Q46+T46+W46</f>
        <v>17053.03</v>
      </c>
      <c r="Y46" s="278">
        <f t="shared" si="12"/>
        <v>1053.0299999999988</v>
      </c>
      <c r="Z46" s="392">
        <f t="shared" si="6"/>
        <v>1.065814375</v>
      </c>
      <c r="AA46" s="287">
        <f>SUM(AA43:AA45)</f>
        <v>17500</v>
      </c>
      <c r="AB46" s="330">
        <f t="shared" si="13"/>
        <v>2.6210591314270948E-2</v>
      </c>
    </row>
    <row r="47" spans="2:34" outlineLevel="1" x14ac:dyDescent="0.35">
      <c r="B47" s="311" t="s">
        <v>64</v>
      </c>
      <c r="C47" s="278"/>
      <c r="D47" s="278">
        <f>SUM(D38:D40)+D46</f>
        <v>70817.670000000013</v>
      </c>
      <c r="E47" s="278">
        <v>16.27</v>
      </c>
      <c r="F47" s="278">
        <v>-50</v>
      </c>
      <c r="G47" s="278">
        <v>102.64</v>
      </c>
      <c r="H47" s="278">
        <f>SUM(D47:G47)</f>
        <v>70886.580000000016</v>
      </c>
      <c r="I47" s="278"/>
      <c r="J47" s="278">
        <v>1291.71</v>
      </c>
      <c r="K47" s="278">
        <v>203.73</v>
      </c>
      <c r="L47" s="278">
        <v>1133.32</v>
      </c>
      <c r="M47" s="278">
        <v>19.329999999999998</v>
      </c>
      <c r="N47" s="278">
        <f t="shared" si="8"/>
        <v>2648.09</v>
      </c>
      <c r="O47" s="350">
        <v>2000</v>
      </c>
      <c r="P47" s="278">
        <v>1451.03</v>
      </c>
      <c r="Q47" s="278">
        <v>2096.85</v>
      </c>
      <c r="R47" s="309">
        <v>-50</v>
      </c>
      <c r="S47" s="309">
        <v>1133.32</v>
      </c>
      <c r="T47" s="286">
        <v>20</v>
      </c>
      <c r="U47" s="310">
        <v>102.64</v>
      </c>
      <c r="V47" s="310">
        <v>19.329999999999998</v>
      </c>
      <c r="W47" s="286">
        <v>200</v>
      </c>
      <c r="X47" s="358">
        <f t="shared" si="14"/>
        <v>3767.88</v>
      </c>
      <c r="Y47" s="278">
        <f t="shared" si="12"/>
        <v>1767.88</v>
      </c>
      <c r="Z47" s="392">
        <f t="shared" si="6"/>
        <v>1.8839399999999999</v>
      </c>
      <c r="AA47" s="287">
        <v>1500</v>
      </c>
      <c r="AB47" s="330">
        <f t="shared" si="13"/>
        <v>-0.60189814962259947</v>
      </c>
    </row>
    <row r="48" spans="2:34" outlineLevel="1" x14ac:dyDescent="0.35">
      <c r="B48" s="311" t="s">
        <v>278</v>
      </c>
      <c r="C48" s="278"/>
      <c r="D48" s="278"/>
      <c r="E48" s="278"/>
      <c r="F48" s="278"/>
      <c r="G48" s="278"/>
      <c r="H48" s="278"/>
      <c r="I48" s="278"/>
      <c r="J48" s="278"/>
      <c r="K48" s="278"/>
      <c r="L48" s="278"/>
      <c r="M48" s="278"/>
      <c r="N48" s="278"/>
      <c r="O48" s="350"/>
      <c r="P48" s="278"/>
      <c r="Q48" s="278"/>
      <c r="R48" s="309"/>
      <c r="S48" s="309"/>
      <c r="T48" s="286"/>
      <c r="U48" s="310"/>
      <c r="V48" s="310"/>
      <c r="W48" s="286"/>
      <c r="X48" s="358"/>
      <c r="Y48" s="278"/>
      <c r="Z48" s="408" t="s">
        <v>398</v>
      </c>
      <c r="AA48" s="287">
        <v>3000</v>
      </c>
      <c r="AB48" s="330">
        <v>1</v>
      </c>
    </row>
    <row r="49" spans="2:30" s="278" customFormat="1" outlineLevel="1" x14ac:dyDescent="0.35">
      <c r="B49" s="312" t="s">
        <v>277</v>
      </c>
      <c r="C49" s="273">
        <v>7000</v>
      </c>
      <c r="D49" s="273">
        <v>1078.04</v>
      </c>
      <c r="E49" s="273">
        <v>850.95</v>
      </c>
      <c r="F49" s="273">
        <v>780.84</v>
      </c>
      <c r="G49" s="273">
        <v>938.14</v>
      </c>
      <c r="H49" s="273">
        <f t="shared" ref="H49:H60" si="16">SUM(D49:G49)</f>
        <v>3647.97</v>
      </c>
      <c r="I49" s="273">
        <v>6000</v>
      </c>
      <c r="J49" s="273">
        <v>1276.81</v>
      </c>
      <c r="K49" s="273">
        <v>1748.33</v>
      </c>
      <c r="L49" s="273">
        <v>865.8</v>
      </c>
      <c r="M49" s="273">
        <v>1866.69</v>
      </c>
      <c r="N49" s="273">
        <f t="shared" ref="N49:N60" si="17">SUM(J49:M49)</f>
        <v>5757.6299999999992</v>
      </c>
      <c r="O49" s="351">
        <v>4500</v>
      </c>
      <c r="P49" s="273">
        <v>1457.52</v>
      </c>
      <c r="Q49" s="273">
        <v>1141.3499999999999</v>
      </c>
      <c r="R49" s="291">
        <v>780.84</v>
      </c>
      <c r="S49" s="291">
        <v>865.8</v>
      </c>
      <c r="T49" s="274">
        <v>945</v>
      </c>
      <c r="U49" s="292">
        <v>938.14</v>
      </c>
      <c r="V49" s="292">
        <v>1866.69</v>
      </c>
      <c r="W49" s="274">
        <v>1400</v>
      </c>
      <c r="X49" s="359">
        <f t="shared" ref="X49:X55" si="18">P49+Q49+T49+W49</f>
        <v>4943.87</v>
      </c>
      <c r="Y49" s="273">
        <f t="shared" ref="Y49:Y60" si="19">X49-O49</f>
        <v>443.86999999999989</v>
      </c>
      <c r="Z49" s="393">
        <f t="shared" si="6"/>
        <v>1.0986377777777778</v>
      </c>
      <c r="AA49" s="272">
        <v>6000</v>
      </c>
      <c r="AB49" s="331">
        <f>(AA49/X49)-1</f>
        <v>0.21362414464781643</v>
      </c>
      <c r="AD49" s="368" t="s">
        <v>350</v>
      </c>
    </row>
    <row r="50" spans="2:30" x14ac:dyDescent="0.35">
      <c r="B50" s="311" t="s">
        <v>323</v>
      </c>
      <c r="C50" s="273">
        <v>7000</v>
      </c>
      <c r="D50" s="273">
        <v>1233.53</v>
      </c>
      <c r="E50" s="273">
        <v>867.22</v>
      </c>
      <c r="F50" s="273">
        <v>730.84</v>
      </c>
      <c r="G50" s="273">
        <v>1040.78</v>
      </c>
      <c r="H50" s="273">
        <f t="shared" si="16"/>
        <v>3872.37</v>
      </c>
      <c r="I50" s="273">
        <v>6000</v>
      </c>
      <c r="J50" s="273">
        <v>2568.52</v>
      </c>
      <c r="K50" s="273">
        <v>1952.06</v>
      </c>
      <c r="L50" s="273">
        <v>1999.12</v>
      </c>
      <c r="M50" s="273">
        <v>1886.02</v>
      </c>
      <c r="N50" s="273">
        <f t="shared" si="17"/>
        <v>8405.7199999999993</v>
      </c>
      <c r="O50" s="351">
        <v>6500</v>
      </c>
      <c r="P50" s="273">
        <v>2908.55</v>
      </c>
      <c r="Q50" s="273">
        <v>3238.2</v>
      </c>
      <c r="R50" s="291">
        <v>730.84</v>
      </c>
      <c r="S50" s="291">
        <v>1999.12</v>
      </c>
      <c r="T50" s="274">
        <f>SUM(T47:T49)</f>
        <v>965</v>
      </c>
      <c r="U50" s="292">
        <v>1040.78</v>
      </c>
      <c r="V50" s="292">
        <v>1886.02</v>
      </c>
      <c r="W50" s="274">
        <f>SUM(W47:W49)</f>
        <v>1600</v>
      </c>
      <c r="X50" s="358">
        <f t="shared" si="18"/>
        <v>8711.75</v>
      </c>
      <c r="Y50" s="278">
        <f t="shared" si="19"/>
        <v>2211.75</v>
      </c>
      <c r="Z50" s="392">
        <f t="shared" si="6"/>
        <v>1.3402692307692308</v>
      </c>
      <c r="AA50" s="287">
        <f>SUM(AA47:AA49)</f>
        <v>10500</v>
      </c>
      <c r="AB50" s="330">
        <f>(AA50/X50)-1</f>
        <v>0.20526874623353519</v>
      </c>
    </row>
    <row r="51" spans="2:30" s="290" customFormat="1" x14ac:dyDescent="0.35">
      <c r="B51" s="318" t="s">
        <v>69</v>
      </c>
      <c r="C51" s="313">
        <v>42500</v>
      </c>
      <c r="D51" s="313">
        <v>17474.38</v>
      </c>
      <c r="E51" s="313">
        <v>4678.66</v>
      </c>
      <c r="F51" s="313">
        <v>6910.89</v>
      </c>
      <c r="G51" s="313">
        <v>6324.28</v>
      </c>
      <c r="H51" s="313">
        <f t="shared" si="16"/>
        <v>35388.21</v>
      </c>
      <c r="I51" s="313">
        <v>52670</v>
      </c>
      <c r="J51" s="313">
        <v>15045.96</v>
      </c>
      <c r="K51" s="313">
        <v>13014.26</v>
      </c>
      <c r="L51" s="313">
        <v>12505.53</v>
      </c>
      <c r="M51" s="313">
        <v>30203.78</v>
      </c>
      <c r="N51" s="313">
        <f t="shared" si="17"/>
        <v>70769.53</v>
      </c>
      <c r="O51" s="352">
        <v>44520</v>
      </c>
      <c r="P51" s="313">
        <f t="shared" ref="P51:V51" si="20">P50+P46+P42+P38+P35</f>
        <v>17858.570000000003</v>
      </c>
      <c r="Q51" s="313">
        <f t="shared" si="20"/>
        <v>15044.960000000001</v>
      </c>
      <c r="R51" s="313">
        <f t="shared" si="20"/>
        <v>8861.77</v>
      </c>
      <c r="S51" s="313">
        <f t="shared" si="20"/>
        <v>13906.58</v>
      </c>
      <c r="T51" s="313">
        <f t="shared" si="20"/>
        <v>11636</v>
      </c>
      <c r="U51" s="313">
        <f t="shared" si="20"/>
        <v>6324.2800000000007</v>
      </c>
      <c r="V51" s="313">
        <f t="shared" si="20"/>
        <v>48023.78</v>
      </c>
      <c r="W51" s="313">
        <f>W50+W46+W42+W38+W35</f>
        <v>8992</v>
      </c>
      <c r="X51" s="361">
        <f>X50+X46+X42+X38+X35</f>
        <v>53531.53</v>
      </c>
      <c r="Y51" s="293">
        <f t="shared" si="19"/>
        <v>9011.5299999999988</v>
      </c>
      <c r="Z51" s="395">
        <f t="shared" si="6"/>
        <v>1.2024153189577718</v>
      </c>
      <c r="AA51" s="294">
        <f>AA50+AA46+AA42+AA38+AA35</f>
        <v>55151</v>
      </c>
      <c r="AB51" s="332">
        <f>(AA51/X51)-1</f>
        <v>3.0252638024730549E-2</v>
      </c>
      <c r="AD51" s="367"/>
    </row>
    <row r="52" spans="2:30" ht="19.399999999999999" customHeight="1" outlineLevel="1" x14ac:dyDescent="0.35">
      <c r="B52" s="311" t="s">
        <v>71</v>
      </c>
      <c r="C52" s="278">
        <v>3400</v>
      </c>
      <c r="D52" s="278">
        <v>0</v>
      </c>
      <c r="E52" s="278">
        <v>1784.5</v>
      </c>
      <c r="F52" s="278">
        <v>0</v>
      </c>
      <c r="G52" s="278">
        <v>1858.33</v>
      </c>
      <c r="H52" s="278">
        <f t="shared" si="16"/>
        <v>3642.83</v>
      </c>
      <c r="I52" s="278">
        <v>3600</v>
      </c>
      <c r="J52" s="278">
        <v>0</v>
      </c>
      <c r="K52" s="278">
        <v>1858.33</v>
      </c>
      <c r="L52" s="278">
        <v>0</v>
      </c>
      <c r="M52" s="278">
        <v>1787.42</v>
      </c>
      <c r="N52" s="278">
        <f t="shared" si="17"/>
        <v>3645.75</v>
      </c>
      <c r="O52" s="350">
        <v>3900</v>
      </c>
      <c r="P52" s="278">
        <v>0</v>
      </c>
      <c r="Q52" s="278">
        <v>1940.67</v>
      </c>
      <c r="R52" s="309">
        <v>0</v>
      </c>
      <c r="S52" s="309">
        <v>0</v>
      </c>
      <c r="T52" s="286">
        <v>0</v>
      </c>
      <c r="U52" s="310">
        <v>1858.33</v>
      </c>
      <c r="V52" s="310">
        <v>1787.42</v>
      </c>
      <c r="W52" s="286">
        <v>1900</v>
      </c>
      <c r="X52" s="358">
        <f t="shared" si="18"/>
        <v>3840.67</v>
      </c>
      <c r="Y52" s="278">
        <f t="shared" si="19"/>
        <v>-59.329999999999927</v>
      </c>
      <c r="Z52" s="392">
        <f t="shared" si="6"/>
        <v>0.98478717948717953</v>
      </c>
      <c r="AA52" s="287">
        <v>4000</v>
      </c>
      <c r="AB52" s="330">
        <f>(AA52/X52)-1</f>
        <v>4.1484949240627289E-2</v>
      </c>
    </row>
    <row r="53" spans="2:30" outlineLevel="1" x14ac:dyDescent="0.35">
      <c r="B53" s="311" t="s">
        <v>72</v>
      </c>
      <c r="C53" s="278">
        <v>9000</v>
      </c>
      <c r="D53" s="278">
        <v>2590.9</v>
      </c>
      <c r="E53" s="278">
        <v>2702.9</v>
      </c>
      <c r="F53" s="278">
        <v>2161.86</v>
      </c>
      <c r="G53" s="278">
        <v>2203</v>
      </c>
      <c r="H53" s="278">
        <f t="shared" si="16"/>
        <v>9658.66</v>
      </c>
      <c r="I53" s="278">
        <v>10000</v>
      </c>
      <c r="J53" s="278">
        <v>2843.58</v>
      </c>
      <c r="K53" s="278">
        <v>2968.31</v>
      </c>
      <c r="L53" s="278">
        <v>2481.64</v>
      </c>
      <c r="M53" s="278">
        <v>2834.95</v>
      </c>
      <c r="N53" s="278">
        <f t="shared" si="17"/>
        <v>11128.48</v>
      </c>
      <c r="O53" s="350">
        <v>10000</v>
      </c>
      <c r="P53" s="278">
        <v>2881.36</v>
      </c>
      <c r="Q53" s="278">
        <v>1432.35</v>
      </c>
      <c r="R53" s="309">
        <v>2161.86</v>
      </c>
      <c r="S53" s="309">
        <v>2481.64</v>
      </c>
      <c r="T53" s="286">
        <v>3879</v>
      </c>
      <c r="U53" s="310">
        <v>2203</v>
      </c>
      <c r="V53" s="310">
        <v>2834.95</v>
      </c>
      <c r="W53" s="286">
        <v>2300</v>
      </c>
      <c r="X53" s="358">
        <f t="shared" si="18"/>
        <v>10492.71</v>
      </c>
      <c r="Y53" s="278">
        <f t="shared" si="19"/>
        <v>492.70999999999913</v>
      </c>
      <c r="Z53" s="392">
        <f t="shared" si="6"/>
        <v>1.0492709999999998</v>
      </c>
      <c r="AA53" s="287">
        <v>11000</v>
      </c>
      <c r="AB53" s="330">
        <f>(AA53/X53)-1</f>
        <v>4.8346899895260753E-2</v>
      </c>
    </row>
    <row r="54" spans="2:30" outlineLevel="1" x14ac:dyDescent="0.35">
      <c r="B54" s="311" t="s">
        <v>73</v>
      </c>
      <c r="C54" s="278">
        <v>12000</v>
      </c>
      <c r="D54" s="278">
        <v>0</v>
      </c>
      <c r="E54" s="278">
        <v>0</v>
      </c>
      <c r="F54" s="278">
        <v>0</v>
      </c>
      <c r="G54" s="278">
        <v>0</v>
      </c>
      <c r="H54" s="278">
        <f t="shared" si="16"/>
        <v>0</v>
      </c>
      <c r="I54" s="278">
        <v>12000</v>
      </c>
      <c r="J54" s="278">
        <v>0</v>
      </c>
      <c r="K54" s="278">
        <v>0</v>
      </c>
      <c r="L54" s="278">
        <v>0</v>
      </c>
      <c r="M54" s="278">
        <v>0</v>
      </c>
      <c r="N54" s="278">
        <f t="shared" si="17"/>
        <v>0</v>
      </c>
      <c r="O54" s="350">
        <v>12000</v>
      </c>
      <c r="P54" s="278">
        <v>0</v>
      </c>
      <c r="Q54" s="278">
        <v>0</v>
      </c>
      <c r="R54" s="309">
        <v>0</v>
      </c>
      <c r="S54" s="309">
        <v>0</v>
      </c>
      <c r="T54" s="286">
        <v>0</v>
      </c>
      <c r="U54" s="310">
        <v>0</v>
      </c>
      <c r="V54" s="310">
        <v>0</v>
      </c>
      <c r="W54" s="286">
        <v>0</v>
      </c>
      <c r="X54" s="358">
        <f t="shared" si="18"/>
        <v>0</v>
      </c>
      <c r="Y54" s="278">
        <f t="shared" si="19"/>
        <v>-12000</v>
      </c>
      <c r="Z54" s="392">
        <f t="shared" si="6"/>
        <v>0</v>
      </c>
      <c r="AA54" s="287">
        <v>12000</v>
      </c>
      <c r="AB54" s="330"/>
      <c r="AD54" s="365" t="s">
        <v>347</v>
      </c>
    </row>
    <row r="55" spans="2:30" outlineLevel="1" x14ac:dyDescent="0.35">
      <c r="B55" s="311" t="s">
        <v>74</v>
      </c>
      <c r="C55" s="278">
        <v>3500</v>
      </c>
      <c r="D55" s="278">
        <v>20.64</v>
      </c>
      <c r="E55" s="278">
        <v>389.35</v>
      </c>
      <c r="F55" s="278">
        <v>372.94</v>
      </c>
      <c r="G55" s="278">
        <v>738.29</v>
      </c>
      <c r="H55" s="278">
        <f t="shared" si="16"/>
        <v>1521.22</v>
      </c>
      <c r="I55" s="278">
        <v>3000</v>
      </c>
      <c r="J55" s="278">
        <v>12.9</v>
      </c>
      <c r="K55" s="278">
        <v>390.32</v>
      </c>
      <c r="L55" s="278">
        <v>588.1</v>
      </c>
      <c r="M55" s="278">
        <v>998.63</v>
      </c>
      <c r="N55" s="278">
        <f t="shared" si="17"/>
        <v>1989.9499999999998</v>
      </c>
      <c r="O55" s="350">
        <v>1500</v>
      </c>
      <c r="P55" s="278">
        <v>24.51</v>
      </c>
      <c r="Q55" s="278">
        <v>430.64</v>
      </c>
      <c r="R55" s="309">
        <v>372.94</v>
      </c>
      <c r="S55" s="309">
        <v>588.1</v>
      </c>
      <c r="T55" s="286">
        <v>586</v>
      </c>
      <c r="U55" s="310">
        <v>738.29</v>
      </c>
      <c r="V55" s="310">
        <v>998.63</v>
      </c>
      <c r="W55" s="286">
        <v>1400</v>
      </c>
      <c r="X55" s="358">
        <f t="shared" si="18"/>
        <v>2441.15</v>
      </c>
      <c r="Y55" s="278">
        <f t="shared" si="19"/>
        <v>941.15000000000009</v>
      </c>
      <c r="Z55" s="392">
        <f t="shared" si="6"/>
        <v>1.6274333333333333</v>
      </c>
      <c r="AA55" s="287">
        <v>2100</v>
      </c>
      <c r="AB55" s="330">
        <f t="shared" ref="AB55:AB60" si="21">(AA55/X55)-1</f>
        <v>-0.13974970812936527</v>
      </c>
    </row>
    <row r="56" spans="2:30" s="290" customFormat="1" x14ac:dyDescent="0.35">
      <c r="B56" s="340" t="s">
        <v>306</v>
      </c>
      <c r="C56" s="341">
        <v>27900</v>
      </c>
      <c r="D56" s="341">
        <v>2611.54</v>
      </c>
      <c r="E56" s="341">
        <v>4876.75</v>
      </c>
      <c r="F56" s="341">
        <v>2534.8000000000002</v>
      </c>
      <c r="G56" s="341">
        <v>4799.62</v>
      </c>
      <c r="H56" s="341">
        <f t="shared" si="16"/>
        <v>14822.71</v>
      </c>
      <c r="I56" s="341">
        <v>28600</v>
      </c>
      <c r="J56" s="341">
        <v>2856.48</v>
      </c>
      <c r="K56" s="341">
        <v>5216.96</v>
      </c>
      <c r="L56" s="341">
        <v>3069.74</v>
      </c>
      <c r="M56" s="341">
        <v>5621</v>
      </c>
      <c r="N56" s="341">
        <f t="shared" si="17"/>
        <v>16764.18</v>
      </c>
      <c r="O56" s="353">
        <v>27400</v>
      </c>
      <c r="P56" s="341">
        <f t="shared" ref="P56:S56" si="22">SUM(P52:P55)</f>
        <v>2905.8700000000003</v>
      </c>
      <c r="Q56" s="341">
        <f t="shared" si="22"/>
        <v>3803.66</v>
      </c>
      <c r="R56" s="341">
        <f t="shared" si="22"/>
        <v>2534.8000000000002</v>
      </c>
      <c r="S56" s="341">
        <f t="shared" si="22"/>
        <v>3069.74</v>
      </c>
      <c r="T56" s="341">
        <f>SUM(T52:T55)</f>
        <v>4465</v>
      </c>
      <c r="U56" s="342">
        <v>4799.62</v>
      </c>
      <c r="V56" s="342">
        <v>5621</v>
      </c>
      <c r="W56" s="341">
        <f>SUM(W52:W55)</f>
        <v>5600</v>
      </c>
      <c r="X56" s="362">
        <f>SUM(X52:X55)</f>
        <v>16774.53</v>
      </c>
      <c r="Y56" s="341">
        <f t="shared" si="19"/>
        <v>-10625.470000000001</v>
      </c>
      <c r="Z56" s="396">
        <f t="shared" si="6"/>
        <v>0.61220912408759121</v>
      </c>
      <c r="AA56" s="343">
        <f>SUM(AA52:AA55)</f>
        <v>29100</v>
      </c>
      <c r="AB56" s="344">
        <f t="shared" si="21"/>
        <v>0.73477289676670532</v>
      </c>
      <c r="AD56" s="367"/>
    </row>
    <row r="57" spans="2:30" s="290" customFormat="1" x14ac:dyDescent="0.35">
      <c r="B57" s="308" t="s">
        <v>85</v>
      </c>
      <c r="C57" s="293">
        <v>201650</v>
      </c>
      <c r="D57" s="293">
        <v>60967.81</v>
      </c>
      <c r="E57" s="293">
        <v>41961.65</v>
      </c>
      <c r="F57" s="293">
        <v>40147.79</v>
      </c>
      <c r="G57" s="293">
        <v>42996.02</v>
      </c>
      <c r="H57" s="313">
        <f t="shared" si="16"/>
        <v>186073.27</v>
      </c>
      <c r="I57" s="293">
        <v>225110</v>
      </c>
      <c r="J57" s="293">
        <v>56687.65</v>
      </c>
      <c r="K57" s="293">
        <v>68560.320000000007</v>
      </c>
      <c r="L57" s="293">
        <v>49329.63</v>
      </c>
      <c r="M57" s="293">
        <v>68785.66</v>
      </c>
      <c r="N57" s="313">
        <f t="shared" si="17"/>
        <v>243363.26</v>
      </c>
      <c r="O57" s="352">
        <v>222870</v>
      </c>
      <c r="P57" s="315">
        <f>P56+P51+P33+P15</f>
        <v>55743.320000000007</v>
      </c>
      <c r="Q57" s="315">
        <f>Q56+Q51+Q33+Q15</f>
        <v>67504.77</v>
      </c>
      <c r="R57" s="314">
        <v>40147.79</v>
      </c>
      <c r="S57" s="314">
        <v>49329.63</v>
      </c>
      <c r="T57" s="315">
        <f>T56+T51+T33+T15</f>
        <v>51725</v>
      </c>
      <c r="U57" s="316">
        <v>42996.02</v>
      </c>
      <c r="V57" s="316">
        <v>68785.66</v>
      </c>
      <c r="W57" s="315">
        <f>W56+W51+W33+W15</f>
        <v>47992</v>
      </c>
      <c r="X57" s="360">
        <f>X56+X51+X33+X19</f>
        <v>222965.09</v>
      </c>
      <c r="Y57" s="313">
        <f t="shared" si="19"/>
        <v>95.089999999996508</v>
      </c>
      <c r="Z57" s="394">
        <f t="shared" si="6"/>
        <v>1.0004266612823618</v>
      </c>
      <c r="AA57" s="317">
        <f>AA56+AA51+AA33+AA19</f>
        <v>251633</v>
      </c>
      <c r="AB57" s="321">
        <f t="shared" si="21"/>
        <v>0.12857577838754941</v>
      </c>
      <c r="AD57" s="367"/>
    </row>
    <row r="58" spans="2:30" x14ac:dyDescent="0.35">
      <c r="B58" s="319" t="s">
        <v>86</v>
      </c>
      <c r="C58" s="276">
        <v>19450</v>
      </c>
      <c r="D58" s="276">
        <v>2965.95</v>
      </c>
      <c r="E58" s="276">
        <v>13181.47</v>
      </c>
      <c r="F58" s="276">
        <v>10463.48</v>
      </c>
      <c r="G58" s="276">
        <v>10862.65</v>
      </c>
      <c r="H58" s="276">
        <f t="shared" si="16"/>
        <v>37473.549999999996</v>
      </c>
      <c r="I58" s="276">
        <v>21040</v>
      </c>
      <c r="J58" s="276">
        <v>16676.490000000002</v>
      </c>
      <c r="K58" s="276">
        <v>-6133.54</v>
      </c>
      <c r="L58" s="276">
        <v>8503.56</v>
      </c>
      <c r="M58" s="276">
        <v>-10735.41</v>
      </c>
      <c r="N58" s="276">
        <f t="shared" si="17"/>
        <v>8311.1000000000022</v>
      </c>
      <c r="O58" s="354">
        <v>47980</v>
      </c>
      <c r="P58" s="277">
        <f>P13-P57</f>
        <v>22515.819999999992</v>
      </c>
      <c r="Q58" s="277">
        <f t="shared" ref="Q58:S58" si="23">Q13-Q57</f>
        <v>618.69999999999709</v>
      </c>
      <c r="R58" s="277">
        <f t="shared" si="23"/>
        <v>10463.479999999996</v>
      </c>
      <c r="S58" s="277">
        <f t="shared" si="23"/>
        <v>8503.5600000000049</v>
      </c>
      <c r="T58" s="277">
        <f>T13-T57</f>
        <v>6999</v>
      </c>
      <c r="U58" s="277">
        <f>U13-U57</f>
        <v>10862.650000000001</v>
      </c>
      <c r="V58" s="277">
        <f>V13-V57</f>
        <v>-10735.410000000003</v>
      </c>
      <c r="W58" s="277">
        <f>W13-W57</f>
        <v>16039</v>
      </c>
      <c r="X58" s="363">
        <f>P58+Q58+T58+W58</f>
        <v>46172.51999999999</v>
      </c>
      <c r="Y58" s="276">
        <f t="shared" si="19"/>
        <v>-1807.4800000000105</v>
      </c>
      <c r="Z58" s="397">
        <f t="shared" si="6"/>
        <v>0.96232847019591472</v>
      </c>
      <c r="AA58" s="275">
        <f>AA13-AA57</f>
        <v>40367</v>
      </c>
      <c r="AB58" s="333">
        <f t="shared" si="21"/>
        <v>-0.12573539412620305</v>
      </c>
    </row>
    <row r="59" spans="2:30" x14ac:dyDescent="0.35">
      <c r="B59" s="311" t="s">
        <v>275</v>
      </c>
      <c r="C59" s="278">
        <v>-30000</v>
      </c>
      <c r="D59" s="278">
        <v>-7500</v>
      </c>
      <c r="E59" s="278">
        <v>-7500</v>
      </c>
      <c r="F59" s="278">
        <v>-7500</v>
      </c>
      <c r="G59" s="278">
        <v>-7500</v>
      </c>
      <c r="H59" s="278">
        <f t="shared" si="16"/>
        <v>-30000</v>
      </c>
      <c r="I59" s="278">
        <v>-30000</v>
      </c>
      <c r="J59" s="278">
        <v>-7500</v>
      </c>
      <c r="K59" s="278">
        <v>-7500</v>
      </c>
      <c r="L59" s="278">
        <v>-7500</v>
      </c>
      <c r="M59" s="278">
        <v>-17500</v>
      </c>
      <c r="N59" s="278">
        <f t="shared" si="17"/>
        <v>-40000</v>
      </c>
      <c r="O59" s="350">
        <v>-50000</v>
      </c>
      <c r="P59" s="278">
        <v>-12500.01</v>
      </c>
      <c r="Q59" s="278">
        <v>-12500.01</v>
      </c>
      <c r="R59" s="309">
        <v>-7500</v>
      </c>
      <c r="S59" s="309">
        <v>-7500</v>
      </c>
      <c r="T59" s="286">
        <v>-12500</v>
      </c>
      <c r="U59" s="310">
        <v>-7500</v>
      </c>
      <c r="V59" s="310">
        <v>-17500</v>
      </c>
      <c r="W59" s="286">
        <v>-2500</v>
      </c>
      <c r="X59" s="358">
        <f>P59+Q59+T59+W59</f>
        <v>-40000.020000000004</v>
      </c>
      <c r="Y59" s="278">
        <f t="shared" si="19"/>
        <v>9999.9799999999959</v>
      </c>
      <c r="Z59" s="392">
        <f t="shared" si="6"/>
        <v>0.80000040000000006</v>
      </c>
      <c r="AA59" s="320">
        <v>-40000</v>
      </c>
      <c r="AB59" s="321">
        <f t="shared" si="21"/>
        <v>-4.9999975004766384E-7</v>
      </c>
      <c r="AD59" s="365" t="s">
        <v>348</v>
      </c>
    </row>
    <row r="60" spans="2:30" ht="15" thickBot="1" x14ac:dyDescent="0.4">
      <c r="B60" s="322" t="s">
        <v>88</v>
      </c>
      <c r="C60" s="323">
        <v>-10550</v>
      </c>
      <c r="D60" s="323">
        <v>-4534.05</v>
      </c>
      <c r="E60" s="323">
        <v>5681.47</v>
      </c>
      <c r="F60" s="323">
        <v>2963.48</v>
      </c>
      <c r="G60" s="323">
        <v>3362.65</v>
      </c>
      <c r="H60" s="323">
        <f t="shared" si="16"/>
        <v>7473.5499999999993</v>
      </c>
      <c r="I60" s="323">
        <v>-8960</v>
      </c>
      <c r="J60" s="323">
        <v>9176.49</v>
      </c>
      <c r="K60" s="323">
        <v>-13633.54</v>
      </c>
      <c r="L60" s="323">
        <v>1003.56</v>
      </c>
      <c r="M60" s="323">
        <v>-28235.41</v>
      </c>
      <c r="N60" s="323">
        <f t="shared" si="17"/>
        <v>-31688.9</v>
      </c>
      <c r="O60" s="355">
        <v>-2020</v>
      </c>
      <c r="P60" s="323">
        <v>10015.81</v>
      </c>
      <c r="Q60" s="323">
        <v>-11782.3</v>
      </c>
      <c r="R60" s="324">
        <v>2963.48</v>
      </c>
      <c r="S60" s="324">
        <v>1003.56</v>
      </c>
      <c r="T60" s="325">
        <f>T58+T59</f>
        <v>-5501</v>
      </c>
      <c r="U60" s="326">
        <v>3362.65</v>
      </c>
      <c r="V60" s="326">
        <v>-28235.41</v>
      </c>
      <c r="W60" s="325">
        <f>W58+W59</f>
        <v>13539</v>
      </c>
      <c r="X60" s="409">
        <f>X58+X59</f>
        <v>6172.4999999999854</v>
      </c>
      <c r="Y60" s="323">
        <f t="shared" si="19"/>
        <v>8192.4999999999854</v>
      </c>
      <c r="Z60" s="398">
        <f t="shared" si="6"/>
        <v>-3.0556930693069235</v>
      </c>
      <c r="AA60" s="327">
        <f>AA58+AA59</f>
        <v>367</v>
      </c>
      <c r="AB60" s="334">
        <f t="shared" si="21"/>
        <v>-0.94054272985014165</v>
      </c>
      <c r="AD60" s="365" t="s">
        <v>351</v>
      </c>
    </row>
    <row r="61" spans="2:30" x14ac:dyDescent="0.35">
      <c r="T61" s="268"/>
      <c r="U61" s="288"/>
      <c r="V61" s="288"/>
      <c r="W61" s="268"/>
      <c r="X61" s="268"/>
      <c r="AA61" s="268"/>
    </row>
    <row r="62" spans="2:30" x14ac:dyDescent="0.35">
      <c r="X62" s="268"/>
      <c r="AA62" s="268"/>
    </row>
    <row r="63" spans="2:30" x14ac:dyDescent="0.35">
      <c r="X63" s="268"/>
      <c r="AA63" s="268"/>
    </row>
    <row r="64" spans="2:30" x14ac:dyDescent="0.35">
      <c r="X64" s="268"/>
      <c r="AA64" s="268"/>
    </row>
    <row r="65" spans="24:27" x14ac:dyDescent="0.35">
      <c r="X65" s="268"/>
      <c r="AA65" s="268"/>
    </row>
    <row r="66" spans="24:27" x14ac:dyDescent="0.35">
      <c r="X66" s="268"/>
      <c r="AA66" s="268"/>
    </row>
    <row r="67" spans="24:27" x14ac:dyDescent="0.35">
      <c r="X67" s="268"/>
      <c r="AA67" s="268"/>
    </row>
    <row r="68" spans="24:27" x14ac:dyDescent="0.35">
      <c r="X68" s="268"/>
      <c r="AA68" s="268"/>
    </row>
    <row r="69" spans="24:27" x14ac:dyDescent="0.35">
      <c r="X69" s="268"/>
      <c r="AA69" s="268"/>
    </row>
    <row r="70" spans="24:27" x14ac:dyDescent="0.35">
      <c r="X70" s="268"/>
      <c r="AA70" s="268"/>
    </row>
    <row r="71" spans="24:27" x14ac:dyDescent="0.35">
      <c r="X71" s="268"/>
      <c r="AA71" s="268"/>
    </row>
    <row r="72" spans="24:27" x14ac:dyDescent="0.35">
      <c r="X72" s="268"/>
      <c r="AA72" s="268"/>
    </row>
    <row r="73" spans="24:27" x14ac:dyDescent="0.35">
      <c r="X73" s="268"/>
      <c r="AA73" s="268"/>
    </row>
    <row r="74" spans="24:27" x14ac:dyDescent="0.35">
      <c r="X74" s="268"/>
      <c r="AA74" s="268"/>
    </row>
    <row r="75" spans="24:27" x14ac:dyDescent="0.35">
      <c r="X75" s="268"/>
      <c r="AA75" s="268"/>
    </row>
    <row r="76" spans="24:27" x14ac:dyDescent="0.35">
      <c r="X76" s="268"/>
      <c r="AA76" s="268"/>
    </row>
    <row r="77" spans="24:27" x14ac:dyDescent="0.35">
      <c r="X77" s="268"/>
      <c r="AA77" s="268"/>
    </row>
    <row r="78" spans="24:27" x14ac:dyDescent="0.35">
      <c r="X78" s="268"/>
      <c r="AA78" s="268"/>
    </row>
    <row r="79" spans="24:27" x14ac:dyDescent="0.35">
      <c r="X79" s="268"/>
      <c r="AA79" s="268"/>
    </row>
    <row r="80" spans="24:27" x14ac:dyDescent="0.35">
      <c r="X80" s="268"/>
      <c r="AA80" s="268"/>
    </row>
    <row r="81" spans="24:27" x14ac:dyDescent="0.35">
      <c r="X81" s="268"/>
      <c r="AA81" s="268"/>
    </row>
    <row r="82" spans="24:27" x14ac:dyDescent="0.35">
      <c r="X82" s="268"/>
      <c r="AA82" s="268"/>
    </row>
    <row r="83" spans="24:27" x14ac:dyDescent="0.35">
      <c r="X83" s="268"/>
      <c r="AA83" s="268"/>
    </row>
    <row r="84" spans="24:27" x14ac:dyDescent="0.35">
      <c r="X84" s="268"/>
      <c r="AA84" s="268"/>
    </row>
    <row r="85" spans="24:27" x14ac:dyDescent="0.35">
      <c r="X85" s="268"/>
      <c r="AA85" s="268"/>
    </row>
    <row r="86" spans="24:27" x14ac:dyDescent="0.35">
      <c r="X86" s="268"/>
      <c r="AA86" s="268"/>
    </row>
    <row r="87" spans="24:27" x14ac:dyDescent="0.35">
      <c r="X87" s="268"/>
      <c r="AA87" s="268"/>
    </row>
    <row r="88" spans="24:27" x14ac:dyDescent="0.35">
      <c r="X88" s="268"/>
      <c r="AA88" s="268"/>
    </row>
    <row r="89" spans="24:27" x14ac:dyDescent="0.35">
      <c r="X89" s="268"/>
      <c r="AA89" s="268"/>
    </row>
    <row r="90" spans="24:27" x14ac:dyDescent="0.35">
      <c r="X90" s="268"/>
      <c r="AA90" s="268"/>
    </row>
    <row r="91" spans="24:27" x14ac:dyDescent="0.35">
      <c r="X91" s="268"/>
      <c r="AA91" s="268"/>
    </row>
    <row r="92" spans="24:27" x14ac:dyDescent="0.35">
      <c r="X92" s="268"/>
      <c r="AA92" s="268"/>
    </row>
    <row r="93" spans="24:27" x14ac:dyDescent="0.35">
      <c r="X93" s="268"/>
      <c r="AA93" s="268"/>
    </row>
    <row r="94" spans="24:27" x14ac:dyDescent="0.35">
      <c r="X94" s="268"/>
      <c r="AA94" s="268"/>
    </row>
    <row r="95" spans="24:27" x14ac:dyDescent="0.35">
      <c r="X95" s="268"/>
      <c r="AA95" s="268"/>
    </row>
    <row r="96" spans="24:27" x14ac:dyDescent="0.35">
      <c r="X96" s="268"/>
      <c r="AA96" s="268"/>
    </row>
    <row r="97" spans="24:27" x14ac:dyDescent="0.35">
      <c r="X97" s="268"/>
      <c r="AA97" s="268"/>
    </row>
    <row r="98" spans="24:27" x14ac:dyDescent="0.35">
      <c r="X98" s="268"/>
      <c r="AA98" s="268"/>
    </row>
    <row r="99" spans="24:27" x14ac:dyDescent="0.35">
      <c r="X99" s="268"/>
      <c r="AA99" s="268"/>
    </row>
    <row r="100" spans="24:27" x14ac:dyDescent="0.35">
      <c r="X100" s="268"/>
      <c r="AA100" s="268"/>
    </row>
    <row r="101" spans="24:27" x14ac:dyDescent="0.35">
      <c r="X101" s="268"/>
      <c r="AA101" s="268"/>
    </row>
    <row r="102" spans="24:27" x14ac:dyDescent="0.35">
      <c r="X102" s="268"/>
      <c r="AA102" s="268"/>
    </row>
    <row r="103" spans="24:27" x14ac:dyDescent="0.35">
      <c r="X103" s="268"/>
      <c r="AA103" s="268"/>
    </row>
    <row r="104" spans="24:27" x14ac:dyDescent="0.35">
      <c r="X104" s="268"/>
      <c r="AA104" s="268"/>
    </row>
    <row r="105" spans="24:27" x14ac:dyDescent="0.35">
      <c r="X105" s="268"/>
      <c r="AA105" s="268"/>
    </row>
    <row r="106" spans="24:27" x14ac:dyDescent="0.35">
      <c r="X106" s="268"/>
      <c r="AA106" s="268"/>
    </row>
    <row r="107" spans="24:27" x14ac:dyDescent="0.35">
      <c r="X107" s="268"/>
      <c r="AA107" s="268"/>
    </row>
    <row r="108" spans="24:27" x14ac:dyDescent="0.35">
      <c r="X108" s="268"/>
      <c r="AA108" s="268"/>
    </row>
    <row r="109" spans="24:27" x14ac:dyDescent="0.35">
      <c r="X109" s="268"/>
      <c r="AA109" s="268"/>
    </row>
    <row r="110" spans="24:27" x14ac:dyDescent="0.35">
      <c r="X110" s="268"/>
      <c r="AA110" s="268"/>
    </row>
    <row r="111" spans="24:27" x14ac:dyDescent="0.35">
      <c r="X111" s="268"/>
      <c r="AA111" s="268"/>
    </row>
    <row r="112" spans="24:27" x14ac:dyDescent="0.35">
      <c r="X112" s="268"/>
      <c r="AA112" s="268"/>
    </row>
    <row r="113" spans="24:27" x14ac:dyDescent="0.35">
      <c r="X113" s="268"/>
      <c r="AA113" s="268"/>
    </row>
    <row r="114" spans="24:27" x14ac:dyDescent="0.35">
      <c r="X114" s="268"/>
      <c r="AA114" s="268"/>
    </row>
    <row r="115" spans="24:27" x14ac:dyDescent="0.35">
      <c r="X115" s="268"/>
      <c r="AA115" s="268"/>
    </row>
    <row r="116" spans="24:27" x14ac:dyDescent="0.35">
      <c r="X116" s="268"/>
      <c r="AA116" s="268"/>
    </row>
    <row r="117" spans="24:27" x14ac:dyDescent="0.35">
      <c r="X117" s="268"/>
      <c r="AA117" s="268"/>
    </row>
    <row r="118" spans="24:27" x14ac:dyDescent="0.35">
      <c r="X118" s="268"/>
      <c r="AA118" s="268"/>
    </row>
    <row r="119" spans="24:27" x14ac:dyDescent="0.35">
      <c r="X119" s="268"/>
      <c r="AA119" s="268"/>
    </row>
    <row r="120" spans="24:27" x14ac:dyDescent="0.35">
      <c r="X120" s="268"/>
      <c r="AA120" s="268"/>
    </row>
    <row r="121" spans="24:27" x14ac:dyDescent="0.35">
      <c r="X121" s="268"/>
      <c r="AA121" s="268"/>
    </row>
    <row r="122" spans="24:27" x14ac:dyDescent="0.35">
      <c r="X122" s="268"/>
      <c r="AA122" s="268"/>
    </row>
    <row r="123" spans="24:27" x14ac:dyDescent="0.35">
      <c r="X123" s="268"/>
      <c r="AA123" s="268"/>
    </row>
    <row r="124" spans="24:27" x14ac:dyDescent="0.35">
      <c r="X124" s="268"/>
      <c r="AA124" s="268"/>
    </row>
    <row r="125" spans="24:27" x14ac:dyDescent="0.35">
      <c r="X125" s="268"/>
      <c r="AA125" s="268"/>
    </row>
    <row r="126" spans="24:27" x14ac:dyDescent="0.35">
      <c r="X126" s="268"/>
      <c r="AA126" s="268"/>
    </row>
    <row r="127" spans="24:27" x14ac:dyDescent="0.35">
      <c r="X127" s="268"/>
      <c r="AA127" s="268"/>
    </row>
    <row r="128" spans="24:27" x14ac:dyDescent="0.35">
      <c r="X128" s="268"/>
      <c r="AA128" s="268"/>
    </row>
    <row r="129" spans="24:27" x14ac:dyDescent="0.35">
      <c r="X129" s="268"/>
      <c r="AA129" s="268"/>
    </row>
    <row r="130" spans="24:27" x14ac:dyDescent="0.35">
      <c r="X130" s="268"/>
      <c r="AA130" s="268"/>
    </row>
    <row r="131" spans="24:27" x14ac:dyDescent="0.35">
      <c r="X131" s="268"/>
      <c r="AA131" s="268"/>
    </row>
    <row r="132" spans="24:27" x14ac:dyDescent="0.35">
      <c r="X132" s="268"/>
      <c r="AA132" s="268"/>
    </row>
    <row r="133" spans="24:27" x14ac:dyDescent="0.35">
      <c r="X133" s="268"/>
      <c r="AA133" s="268"/>
    </row>
    <row r="134" spans="24:27" x14ac:dyDescent="0.35">
      <c r="X134" s="268"/>
      <c r="AA134" s="268"/>
    </row>
    <row r="135" spans="24:27" x14ac:dyDescent="0.35">
      <c r="X135" s="268"/>
      <c r="AA135" s="268"/>
    </row>
    <row r="136" spans="24:27" x14ac:dyDescent="0.35">
      <c r="X136" s="268"/>
      <c r="AA136" s="268"/>
    </row>
    <row r="137" spans="24:27" x14ac:dyDescent="0.35">
      <c r="X137" s="268"/>
      <c r="AA137" s="268"/>
    </row>
    <row r="138" spans="24:27" x14ac:dyDescent="0.35">
      <c r="X138" s="268"/>
      <c r="AA138" s="268"/>
    </row>
    <row r="139" spans="24:27" x14ac:dyDescent="0.35">
      <c r="X139" s="268"/>
      <c r="AA139" s="268"/>
    </row>
    <row r="140" spans="24:27" x14ac:dyDescent="0.35">
      <c r="X140" s="268"/>
      <c r="AA140" s="268"/>
    </row>
    <row r="141" spans="24:27" x14ac:dyDescent="0.35">
      <c r="X141" s="268"/>
      <c r="AA141" s="268"/>
    </row>
    <row r="142" spans="24:27" x14ac:dyDescent="0.35">
      <c r="X142" s="268"/>
      <c r="AA142" s="268"/>
    </row>
    <row r="143" spans="24:27" x14ac:dyDescent="0.35">
      <c r="X143" s="268"/>
      <c r="AA143" s="268"/>
    </row>
    <row r="144" spans="24:27" x14ac:dyDescent="0.35">
      <c r="X144" s="268"/>
      <c r="AA144" s="268"/>
    </row>
    <row r="145" spans="24:27" x14ac:dyDescent="0.35">
      <c r="X145" s="268"/>
      <c r="AA145" s="268"/>
    </row>
    <row r="146" spans="24:27" x14ac:dyDescent="0.35">
      <c r="X146" s="268"/>
      <c r="AA146" s="268"/>
    </row>
    <row r="147" spans="24:27" x14ac:dyDescent="0.35">
      <c r="X147" s="268"/>
      <c r="AA147" s="268"/>
    </row>
    <row r="148" spans="24:27" x14ac:dyDescent="0.35">
      <c r="X148" s="268"/>
      <c r="AA148" s="268"/>
    </row>
    <row r="149" spans="24:27" x14ac:dyDescent="0.35">
      <c r="X149" s="268"/>
      <c r="AA149" s="268"/>
    </row>
    <row r="150" spans="24:27" x14ac:dyDescent="0.35">
      <c r="X150" s="268"/>
      <c r="AA150" s="268"/>
    </row>
    <row r="151" spans="24:27" x14ac:dyDescent="0.35">
      <c r="X151" s="268"/>
      <c r="AA151" s="268"/>
    </row>
    <row r="152" spans="24:27" x14ac:dyDescent="0.35">
      <c r="X152" s="268"/>
      <c r="AA152" s="268"/>
    </row>
    <row r="153" spans="24:27" x14ac:dyDescent="0.35">
      <c r="X153" s="268"/>
      <c r="AA153" s="268"/>
    </row>
    <row r="154" spans="24:27" x14ac:dyDescent="0.35">
      <c r="X154" s="268"/>
      <c r="AA154" s="268"/>
    </row>
    <row r="155" spans="24:27" x14ac:dyDescent="0.35">
      <c r="X155" s="268"/>
      <c r="AA155" s="268"/>
    </row>
    <row r="156" spans="24:27" x14ac:dyDescent="0.35">
      <c r="X156" s="268"/>
      <c r="AA156" s="268"/>
    </row>
    <row r="157" spans="24:27" x14ac:dyDescent="0.35">
      <c r="X157" s="268"/>
      <c r="AA157" s="268"/>
    </row>
    <row r="158" spans="24:27" x14ac:dyDescent="0.35">
      <c r="X158" s="268"/>
      <c r="AA158" s="268"/>
    </row>
    <row r="159" spans="24:27" x14ac:dyDescent="0.35">
      <c r="X159" s="268"/>
      <c r="AA159" s="268"/>
    </row>
    <row r="160" spans="24:27" x14ac:dyDescent="0.35">
      <c r="X160" s="268"/>
      <c r="AA160" s="268"/>
    </row>
    <row r="161" spans="24:27" x14ac:dyDescent="0.35">
      <c r="X161" s="268"/>
      <c r="AA161" s="268"/>
    </row>
    <row r="162" spans="24:27" x14ac:dyDescent="0.35">
      <c r="X162" s="268"/>
      <c r="AA162" s="268"/>
    </row>
    <row r="163" spans="24:27" x14ac:dyDescent="0.35">
      <c r="X163" s="268"/>
      <c r="AA163" s="268"/>
    </row>
    <row r="164" spans="24:27" x14ac:dyDescent="0.35">
      <c r="X164" s="268"/>
      <c r="AA164" s="268"/>
    </row>
    <row r="165" spans="24:27" x14ac:dyDescent="0.35">
      <c r="X165" s="268"/>
      <c r="AA165" s="268"/>
    </row>
    <row r="166" spans="24:27" x14ac:dyDescent="0.35">
      <c r="X166" s="268"/>
      <c r="AA166" s="268"/>
    </row>
    <row r="167" spans="24:27" x14ac:dyDescent="0.35">
      <c r="X167" s="268"/>
      <c r="AA167" s="268"/>
    </row>
    <row r="168" spans="24:27" x14ac:dyDescent="0.35">
      <c r="X168" s="268"/>
      <c r="AA168" s="268"/>
    </row>
    <row r="169" spans="24:27" x14ac:dyDescent="0.35">
      <c r="X169" s="268"/>
      <c r="AA169" s="268"/>
    </row>
    <row r="170" spans="24:27" x14ac:dyDescent="0.35">
      <c r="X170" s="268"/>
      <c r="AA170" s="268"/>
    </row>
    <row r="171" spans="24:27" x14ac:dyDescent="0.35">
      <c r="X171" s="268"/>
      <c r="AA171" s="268"/>
    </row>
    <row r="172" spans="24:27" x14ac:dyDescent="0.35">
      <c r="X172" s="268"/>
      <c r="AA172" s="268"/>
    </row>
    <row r="173" spans="24:27" x14ac:dyDescent="0.35">
      <c r="X173" s="268"/>
      <c r="AA173" s="268"/>
    </row>
    <row r="174" spans="24:27" x14ac:dyDescent="0.35">
      <c r="X174" s="268"/>
      <c r="AA174" s="268"/>
    </row>
    <row r="175" spans="24:27" x14ac:dyDescent="0.35">
      <c r="X175" s="268"/>
      <c r="AA175" s="268"/>
    </row>
    <row r="176" spans="24:27" x14ac:dyDescent="0.35">
      <c r="X176" s="268"/>
      <c r="AA176" s="268"/>
    </row>
    <row r="177" spans="24:27" x14ac:dyDescent="0.35">
      <c r="X177" s="268"/>
      <c r="AA177" s="268"/>
    </row>
    <row r="178" spans="24:27" x14ac:dyDescent="0.35">
      <c r="X178" s="268"/>
      <c r="AA178" s="268"/>
    </row>
    <row r="179" spans="24:27" x14ac:dyDescent="0.35">
      <c r="X179" s="268"/>
      <c r="AA179" s="268"/>
    </row>
    <row r="180" spans="24:27" x14ac:dyDescent="0.35">
      <c r="X180" s="268"/>
      <c r="AA180" s="268"/>
    </row>
    <row r="181" spans="24:27" x14ac:dyDescent="0.35">
      <c r="X181" s="268"/>
      <c r="AA181" s="268"/>
    </row>
    <row r="182" spans="24:27" x14ac:dyDescent="0.35">
      <c r="X182" s="268"/>
      <c r="AA182" s="268"/>
    </row>
    <row r="183" spans="24:27" x14ac:dyDescent="0.35">
      <c r="X183" s="268"/>
      <c r="AA183" s="268"/>
    </row>
    <row r="184" spans="24:27" x14ac:dyDescent="0.35">
      <c r="X184" s="268"/>
      <c r="AA184" s="268"/>
    </row>
    <row r="185" spans="24:27" x14ac:dyDescent="0.35">
      <c r="X185" s="268"/>
      <c r="AA185" s="268"/>
    </row>
    <row r="186" spans="24:27" x14ac:dyDescent="0.35">
      <c r="X186" s="268"/>
      <c r="AA186" s="268"/>
    </row>
    <row r="187" spans="24:27" x14ac:dyDescent="0.35">
      <c r="X187" s="268"/>
      <c r="AA187" s="268"/>
    </row>
    <row r="188" spans="24:27" x14ac:dyDescent="0.35">
      <c r="X188" s="268"/>
      <c r="AA188" s="268"/>
    </row>
    <row r="189" spans="24:27" x14ac:dyDescent="0.35">
      <c r="X189" s="268"/>
      <c r="AA189" s="268"/>
    </row>
    <row r="190" spans="24:27" x14ac:dyDescent="0.35">
      <c r="X190" s="268"/>
      <c r="AA190" s="268"/>
    </row>
    <row r="191" spans="24:27" x14ac:dyDescent="0.35">
      <c r="X191" s="268"/>
      <c r="AA191" s="268"/>
    </row>
    <row r="192" spans="24:27" x14ac:dyDescent="0.35">
      <c r="X192" s="268"/>
      <c r="AA192" s="268"/>
    </row>
    <row r="193" spans="24:27" x14ac:dyDescent="0.35">
      <c r="X193" s="268"/>
      <c r="AA193" s="268"/>
    </row>
    <row r="194" spans="24:27" x14ac:dyDescent="0.35">
      <c r="X194" s="268"/>
      <c r="AA194" s="268"/>
    </row>
    <row r="195" spans="24:27" x14ac:dyDescent="0.35">
      <c r="X195" s="268"/>
      <c r="AA195" s="268"/>
    </row>
    <row r="196" spans="24:27" x14ac:dyDescent="0.35">
      <c r="X196" s="268"/>
      <c r="AA196" s="268"/>
    </row>
    <row r="197" spans="24:27" x14ac:dyDescent="0.35">
      <c r="X197" s="268"/>
      <c r="AA197" s="268"/>
    </row>
    <row r="198" spans="24:27" x14ac:dyDescent="0.35">
      <c r="X198" s="268"/>
      <c r="AA198" s="268"/>
    </row>
    <row r="199" spans="24:27" x14ac:dyDescent="0.35">
      <c r="X199" s="268"/>
      <c r="AA199" s="268"/>
    </row>
    <row r="200" spans="24:27" x14ac:dyDescent="0.35">
      <c r="X200" s="268"/>
      <c r="AA200" s="268"/>
    </row>
    <row r="201" spans="24:27" x14ac:dyDescent="0.35">
      <c r="X201" s="268"/>
      <c r="AA201" s="268"/>
    </row>
    <row r="202" spans="24:27" x14ac:dyDescent="0.35">
      <c r="X202" s="268"/>
      <c r="AA202" s="268"/>
    </row>
    <row r="203" spans="24:27" x14ac:dyDescent="0.35">
      <c r="X203" s="268"/>
      <c r="AA203" s="268"/>
    </row>
    <row r="204" spans="24:27" x14ac:dyDescent="0.35">
      <c r="X204" s="268"/>
      <c r="AA204" s="268"/>
    </row>
    <row r="205" spans="24:27" x14ac:dyDescent="0.35">
      <c r="X205" s="268"/>
      <c r="AA205" s="268"/>
    </row>
    <row r="206" spans="24:27" x14ac:dyDescent="0.35">
      <c r="X206" s="268"/>
      <c r="AA206" s="268"/>
    </row>
    <row r="207" spans="24:27" x14ac:dyDescent="0.35">
      <c r="X207" s="268"/>
      <c r="AA207" s="268"/>
    </row>
    <row r="208" spans="24:27" x14ac:dyDescent="0.35">
      <c r="X208" s="268"/>
      <c r="AA208" s="268"/>
    </row>
    <row r="209" spans="24:27" x14ac:dyDescent="0.35">
      <c r="X209" s="268"/>
      <c r="AA209" s="268"/>
    </row>
    <row r="210" spans="24:27" x14ac:dyDescent="0.35">
      <c r="X210" s="268"/>
      <c r="AA210" s="268"/>
    </row>
    <row r="211" spans="24:27" x14ac:dyDescent="0.35">
      <c r="X211" s="268"/>
      <c r="AA211" s="268"/>
    </row>
    <row r="212" spans="24:27" x14ac:dyDescent="0.35">
      <c r="X212" s="268"/>
      <c r="AA212" s="268"/>
    </row>
    <row r="213" spans="24:27" x14ac:dyDescent="0.35">
      <c r="X213" s="268"/>
      <c r="AA213" s="268"/>
    </row>
    <row r="214" spans="24:27" x14ac:dyDescent="0.35">
      <c r="X214" s="268"/>
      <c r="AA214" s="268"/>
    </row>
    <row r="215" spans="24:27" x14ac:dyDescent="0.35">
      <c r="X215" s="268"/>
      <c r="AA215" s="268"/>
    </row>
    <row r="216" spans="24:27" x14ac:dyDescent="0.35">
      <c r="X216" s="268"/>
      <c r="AA216" s="268"/>
    </row>
    <row r="217" spans="24:27" x14ac:dyDescent="0.35">
      <c r="X217" s="268"/>
      <c r="AA217" s="268"/>
    </row>
    <row r="218" spans="24:27" x14ac:dyDescent="0.35">
      <c r="X218" s="268"/>
      <c r="AA218" s="268"/>
    </row>
    <row r="219" spans="24:27" x14ac:dyDescent="0.35">
      <c r="X219" s="268"/>
      <c r="AA219" s="268"/>
    </row>
    <row r="220" spans="24:27" x14ac:dyDescent="0.35">
      <c r="X220" s="268"/>
      <c r="AA220" s="268"/>
    </row>
    <row r="221" spans="24:27" x14ac:dyDescent="0.35">
      <c r="X221" s="268"/>
      <c r="AA221" s="268"/>
    </row>
  </sheetData>
  <pageMargins left="0.25" right="0.25" top="0.75" bottom="0.75" header="0.3" footer="0.3"/>
  <pageSetup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6"/>
  <sheetViews>
    <sheetView workbookViewId="0">
      <selection activeCell="B88" sqref="B88"/>
    </sheetView>
  </sheetViews>
  <sheetFormatPr defaultColWidth="8.90625" defaultRowHeight="13" x14ac:dyDescent="0.3"/>
  <cols>
    <col min="1" max="1" width="27.08984375" style="267" bestFit="1" customWidth="1"/>
    <col min="2" max="2" width="9.453125" style="267" bestFit="1" customWidth="1"/>
    <col min="3" max="3" width="6.6328125" style="267" bestFit="1" customWidth="1"/>
    <col min="4" max="4" width="10.36328125" style="267" bestFit="1" customWidth="1"/>
    <col min="5" max="5" width="6.36328125" style="267" bestFit="1" customWidth="1"/>
    <col min="6" max="6" width="10.36328125" style="267" bestFit="1" customWidth="1"/>
    <col min="7" max="7" width="6.36328125" style="267" bestFit="1" customWidth="1"/>
    <col min="8" max="8" width="9.6328125" style="267" bestFit="1" customWidth="1"/>
    <col min="9" max="9" width="6.36328125" style="267" bestFit="1" customWidth="1"/>
    <col min="10" max="10" width="9.453125" style="267" bestFit="1" customWidth="1"/>
    <col min="11" max="11" width="6.6328125" style="267" bestFit="1" customWidth="1"/>
    <col min="12" max="12" width="10.36328125" style="267" bestFit="1" customWidth="1"/>
    <col min="13" max="13" width="6.36328125" style="267" bestFit="1" customWidth="1"/>
    <col min="14" max="14" width="10.36328125" style="267" bestFit="1" customWidth="1"/>
    <col min="15" max="15" width="6.36328125" style="267" bestFit="1" customWidth="1"/>
    <col min="16" max="16" width="9.6328125" style="267" bestFit="1" customWidth="1"/>
    <col min="17" max="17" width="6.36328125" style="267" bestFit="1" customWidth="1"/>
    <col min="18" max="18" width="9.453125" style="267" bestFit="1" customWidth="1"/>
    <col min="19" max="19" width="6.6328125" style="267" bestFit="1" customWidth="1"/>
    <col min="20" max="20" width="10.36328125" style="267" bestFit="1" customWidth="1"/>
    <col min="21" max="21" width="6.36328125" style="267" bestFit="1" customWidth="1"/>
    <col min="22" max="22" width="11" style="267" bestFit="1" customWidth="1"/>
    <col min="23" max="23" width="6.36328125" style="267" bestFit="1" customWidth="1"/>
    <col min="24" max="24" width="16.6328125" style="267" bestFit="1" customWidth="1"/>
    <col min="25" max="25" width="7.36328125" style="267" bestFit="1" customWidth="1"/>
    <col min="26" max="16384" width="8.90625" style="267"/>
  </cols>
  <sheetData>
    <row r="1" spans="1:25" x14ac:dyDescent="0.3">
      <c r="M1" s="267" t="s">
        <v>3</v>
      </c>
    </row>
    <row r="2" spans="1:25" x14ac:dyDescent="0.3">
      <c r="B2" s="267" t="s">
        <v>299</v>
      </c>
      <c r="C2" s="267" t="s">
        <v>5</v>
      </c>
      <c r="D2" s="267" t="s">
        <v>298</v>
      </c>
      <c r="E2" s="267" t="s">
        <v>5</v>
      </c>
      <c r="F2" s="267" t="s">
        <v>293</v>
      </c>
      <c r="G2" s="267" t="s">
        <v>5</v>
      </c>
      <c r="H2" s="267" t="s">
        <v>290</v>
      </c>
      <c r="I2" s="267" t="s">
        <v>5</v>
      </c>
      <c r="J2" s="267" t="s">
        <v>297</v>
      </c>
      <c r="K2" s="267" t="s">
        <v>5</v>
      </c>
      <c r="L2" s="267" t="s">
        <v>296</v>
      </c>
      <c r="M2" s="267" t="s">
        <v>5</v>
      </c>
      <c r="N2" s="267" t="s">
        <v>292</v>
      </c>
      <c r="O2" s="267" t="s">
        <v>5</v>
      </c>
      <c r="P2" s="267" t="s">
        <v>289</v>
      </c>
      <c r="Q2" s="267" t="s">
        <v>5</v>
      </c>
      <c r="R2" s="267" t="s">
        <v>295</v>
      </c>
      <c r="S2" s="267" t="s">
        <v>5</v>
      </c>
      <c r="T2" s="267" t="s">
        <v>294</v>
      </c>
      <c r="U2" s="267" t="s">
        <v>5</v>
      </c>
      <c r="V2" s="267" t="s">
        <v>321</v>
      </c>
      <c r="W2" s="267" t="s">
        <v>5</v>
      </c>
      <c r="X2" s="267" t="s">
        <v>320</v>
      </c>
      <c r="Y2" s="267" t="s">
        <v>5</v>
      </c>
    </row>
    <row r="3" spans="1:25" x14ac:dyDescent="0.3">
      <c r="A3" s="267" t="s">
        <v>7</v>
      </c>
    </row>
    <row r="4" spans="1:25" x14ac:dyDescent="0.3">
      <c r="A4" s="267" t="s">
        <v>8</v>
      </c>
    </row>
    <row r="5" spans="1:25" x14ac:dyDescent="0.3">
      <c r="A5" s="267" t="s">
        <v>319</v>
      </c>
    </row>
    <row r="6" spans="1:25" x14ac:dyDescent="0.3">
      <c r="A6" s="267" t="s">
        <v>287</v>
      </c>
      <c r="B6" s="267">
        <v>40390.54</v>
      </c>
      <c r="C6" s="267">
        <v>160000</v>
      </c>
      <c r="D6" s="267">
        <v>40517.919999999998</v>
      </c>
      <c r="E6" s="267">
        <v>0</v>
      </c>
      <c r="F6" s="267">
        <v>40963.74</v>
      </c>
      <c r="G6" s="267">
        <v>0</v>
      </c>
      <c r="H6" s="267">
        <v>41208.9</v>
      </c>
      <c r="I6" s="267">
        <v>0</v>
      </c>
      <c r="J6" s="267">
        <v>44844.2</v>
      </c>
      <c r="K6" s="267">
        <v>176000</v>
      </c>
      <c r="L6" s="267">
        <v>44997.54</v>
      </c>
      <c r="M6" s="267">
        <v>0</v>
      </c>
      <c r="N6" s="267">
        <v>45019.48</v>
      </c>
      <c r="O6" s="267">
        <v>0</v>
      </c>
      <c r="P6" s="267">
        <v>44121.72</v>
      </c>
      <c r="Q6" s="267">
        <v>0</v>
      </c>
      <c r="R6" s="267">
        <v>45701.68</v>
      </c>
      <c r="S6" s="267">
        <v>181550</v>
      </c>
      <c r="T6" s="267">
        <v>44734.28</v>
      </c>
      <c r="U6" s="267">
        <v>0</v>
      </c>
      <c r="V6" s="267">
        <v>15253.34</v>
      </c>
      <c r="W6" s="267">
        <v>0</v>
      </c>
      <c r="X6" s="267">
        <v>447753.34</v>
      </c>
      <c r="Y6" s="267">
        <v>517550</v>
      </c>
    </row>
    <row r="7" spans="1:25" x14ac:dyDescent="0.3">
      <c r="A7" s="267" t="s">
        <v>12</v>
      </c>
      <c r="B7" s="267">
        <v>20112.71</v>
      </c>
      <c r="C7" s="267">
        <v>50000</v>
      </c>
      <c r="D7" s="267">
        <v>11937.86</v>
      </c>
      <c r="E7" s="267">
        <v>0</v>
      </c>
      <c r="F7" s="267">
        <v>7195.33</v>
      </c>
      <c r="G7" s="267">
        <v>0</v>
      </c>
      <c r="H7" s="267">
        <v>9942.5400000000009</v>
      </c>
      <c r="I7" s="267">
        <v>0</v>
      </c>
      <c r="J7" s="267">
        <v>25034.400000000001</v>
      </c>
      <c r="K7" s="267">
        <v>59000</v>
      </c>
      <c r="L7" s="267">
        <v>14581.68</v>
      </c>
      <c r="M7" s="267">
        <v>0</v>
      </c>
      <c r="N7" s="267">
        <v>10175.76</v>
      </c>
      <c r="O7" s="267">
        <v>0</v>
      </c>
      <c r="P7" s="267">
        <v>11105.98</v>
      </c>
      <c r="Q7" s="267">
        <v>0</v>
      </c>
      <c r="R7" s="267">
        <v>28760.86</v>
      </c>
      <c r="S7" s="267">
        <v>78000</v>
      </c>
      <c r="T7" s="267">
        <v>20233.27</v>
      </c>
      <c r="U7" s="267">
        <v>0</v>
      </c>
      <c r="V7" s="267">
        <v>4483.13</v>
      </c>
      <c r="W7" s="267">
        <v>0</v>
      </c>
      <c r="X7" s="267">
        <v>163563.51999999999</v>
      </c>
      <c r="Y7" s="267">
        <v>187000</v>
      </c>
    </row>
    <row r="8" spans="1:25" x14ac:dyDescent="0.3">
      <c r="A8" s="267" t="s">
        <v>25</v>
      </c>
      <c r="B8" s="267">
        <v>3072.26</v>
      </c>
      <c r="C8" s="267">
        <v>10800</v>
      </c>
      <c r="D8" s="267">
        <v>2657.34</v>
      </c>
      <c r="E8" s="267">
        <v>0</v>
      </c>
      <c r="F8" s="267">
        <v>2422.1999999999998</v>
      </c>
      <c r="G8" s="267">
        <v>0</v>
      </c>
      <c r="H8" s="267">
        <v>2562.23</v>
      </c>
      <c r="I8" s="267">
        <v>0</v>
      </c>
      <c r="J8" s="267">
        <v>3335.54</v>
      </c>
      <c r="K8" s="267">
        <v>10800</v>
      </c>
      <c r="L8" s="267">
        <v>2817.56</v>
      </c>
      <c r="M8" s="267">
        <v>0</v>
      </c>
      <c r="N8" s="267">
        <v>2607.9499999999998</v>
      </c>
      <c r="O8" s="267">
        <v>0</v>
      </c>
      <c r="P8" s="267">
        <v>2664.55</v>
      </c>
      <c r="Q8" s="267">
        <v>0</v>
      </c>
      <c r="R8" s="267">
        <v>3608.6</v>
      </c>
      <c r="S8" s="267">
        <v>11000</v>
      </c>
      <c r="T8" s="267">
        <v>3155.92</v>
      </c>
      <c r="U8" s="267">
        <v>0</v>
      </c>
      <c r="V8" s="267">
        <v>926.47</v>
      </c>
      <c r="W8" s="267">
        <v>0</v>
      </c>
      <c r="X8" s="267">
        <v>29830.62</v>
      </c>
      <c r="Y8" s="267">
        <v>32600</v>
      </c>
    </row>
    <row r="9" spans="1:25" x14ac:dyDescent="0.3">
      <c r="A9" s="267" t="s">
        <v>286</v>
      </c>
      <c r="B9" s="267">
        <v>63575.51</v>
      </c>
      <c r="C9" s="267">
        <v>220800</v>
      </c>
      <c r="D9" s="267">
        <v>55113.120000000003</v>
      </c>
      <c r="E9" s="267">
        <v>0</v>
      </c>
      <c r="F9" s="267">
        <v>50581.27</v>
      </c>
      <c r="G9" s="267">
        <v>0</v>
      </c>
      <c r="H9" s="267">
        <v>53713.67</v>
      </c>
      <c r="I9" s="267">
        <v>0</v>
      </c>
      <c r="J9" s="267">
        <v>73214.14</v>
      </c>
      <c r="K9" s="267">
        <v>245800</v>
      </c>
      <c r="L9" s="267">
        <v>62396.78</v>
      </c>
      <c r="M9" s="267">
        <v>0</v>
      </c>
      <c r="N9" s="267">
        <v>57803.19</v>
      </c>
      <c r="O9" s="267">
        <v>0</v>
      </c>
      <c r="P9" s="267">
        <v>57892.25</v>
      </c>
      <c r="Q9" s="267">
        <v>0</v>
      </c>
      <c r="R9" s="267">
        <v>78071.14</v>
      </c>
      <c r="S9" s="267">
        <v>270550</v>
      </c>
      <c r="T9" s="267">
        <v>68123.47</v>
      </c>
      <c r="U9" s="267">
        <v>0</v>
      </c>
      <c r="V9" s="267">
        <v>20662.939999999999</v>
      </c>
      <c r="W9" s="267">
        <v>0</v>
      </c>
      <c r="X9" s="267">
        <v>641147.48</v>
      </c>
      <c r="Y9" s="267">
        <v>737150</v>
      </c>
    </row>
    <row r="10" spans="1:25" x14ac:dyDescent="0.3">
      <c r="A10" s="267" t="s">
        <v>26</v>
      </c>
      <c r="B10" s="267">
        <v>358.25</v>
      </c>
      <c r="C10" s="267">
        <v>300</v>
      </c>
      <c r="D10" s="267">
        <v>30</v>
      </c>
      <c r="E10" s="267">
        <v>0</v>
      </c>
      <c r="F10" s="267">
        <v>30</v>
      </c>
      <c r="G10" s="267">
        <v>0</v>
      </c>
      <c r="H10" s="267">
        <v>145</v>
      </c>
      <c r="I10" s="267">
        <v>0</v>
      </c>
      <c r="J10" s="267">
        <v>150</v>
      </c>
      <c r="K10" s="267">
        <v>350</v>
      </c>
      <c r="L10" s="267">
        <v>30</v>
      </c>
      <c r="M10" s="267">
        <v>0</v>
      </c>
      <c r="N10" s="267">
        <v>30</v>
      </c>
      <c r="O10" s="267">
        <v>0</v>
      </c>
      <c r="P10" s="267">
        <v>158</v>
      </c>
      <c r="Q10" s="267">
        <v>0</v>
      </c>
      <c r="R10" s="267">
        <v>188</v>
      </c>
      <c r="S10" s="267">
        <v>300</v>
      </c>
      <c r="T10" s="267">
        <v>0</v>
      </c>
      <c r="U10" s="267">
        <v>0</v>
      </c>
      <c r="V10" s="267">
        <v>33</v>
      </c>
      <c r="W10" s="267">
        <v>0</v>
      </c>
      <c r="X10" s="267">
        <v>1152.25</v>
      </c>
      <c r="Y10" s="267">
        <v>950</v>
      </c>
    </row>
    <row r="11" spans="1:25" x14ac:dyDescent="0.3">
      <c r="A11" s="267" t="s">
        <v>31</v>
      </c>
      <c r="B11" s="267">
        <v>63933.760000000002</v>
      </c>
      <c r="C11" s="267">
        <v>221100</v>
      </c>
      <c r="D11" s="267">
        <v>55143.12</v>
      </c>
      <c r="E11" s="267">
        <v>0</v>
      </c>
      <c r="F11" s="267">
        <v>50611.27</v>
      </c>
      <c r="G11" s="267">
        <v>0</v>
      </c>
      <c r="H11" s="267">
        <v>53858.67</v>
      </c>
      <c r="I11" s="267">
        <v>0</v>
      </c>
      <c r="J11" s="267">
        <v>73364.14</v>
      </c>
      <c r="K11" s="267">
        <v>246150</v>
      </c>
      <c r="L11" s="267">
        <v>62426.78</v>
      </c>
      <c r="M11" s="267">
        <v>0</v>
      </c>
      <c r="N11" s="267">
        <v>57833.19</v>
      </c>
      <c r="O11" s="267">
        <v>0</v>
      </c>
      <c r="P11" s="267">
        <v>58050.25</v>
      </c>
      <c r="Q11" s="267">
        <v>0</v>
      </c>
      <c r="R11" s="267">
        <v>78259.14</v>
      </c>
      <c r="S11" s="267">
        <v>270850</v>
      </c>
      <c r="T11" s="267">
        <v>68123.47</v>
      </c>
      <c r="U11" s="267">
        <v>0</v>
      </c>
      <c r="V11" s="267">
        <v>20695.939999999999</v>
      </c>
      <c r="W11" s="267">
        <v>0</v>
      </c>
      <c r="X11" s="267">
        <v>642299.73</v>
      </c>
      <c r="Y11" s="267">
        <v>738100</v>
      </c>
    </row>
    <row r="12" spans="1:25" x14ac:dyDescent="0.3">
      <c r="A12" s="267" t="s">
        <v>32</v>
      </c>
      <c r="B12" s="267">
        <v>63933.760000000002</v>
      </c>
      <c r="C12" s="267">
        <v>221100</v>
      </c>
      <c r="D12" s="267">
        <v>55143.12</v>
      </c>
      <c r="E12" s="267">
        <v>0</v>
      </c>
      <c r="F12" s="267">
        <v>50611.27</v>
      </c>
      <c r="G12" s="267">
        <v>0</v>
      </c>
      <c r="H12" s="267">
        <v>53858.67</v>
      </c>
      <c r="I12" s="267">
        <v>0</v>
      </c>
      <c r="J12" s="267">
        <v>73364.14</v>
      </c>
      <c r="K12" s="267">
        <v>246150</v>
      </c>
      <c r="L12" s="267">
        <v>62426.78</v>
      </c>
      <c r="M12" s="267">
        <v>0</v>
      </c>
      <c r="N12" s="267">
        <v>57833.19</v>
      </c>
      <c r="O12" s="267">
        <v>0</v>
      </c>
      <c r="P12" s="267">
        <v>58050.25</v>
      </c>
      <c r="Q12" s="267">
        <v>0</v>
      </c>
      <c r="R12" s="267">
        <v>78259.14</v>
      </c>
      <c r="S12" s="267">
        <v>270850</v>
      </c>
      <c r="T12" s="267">
        <v>68123.47</v>
      </c>
      <c r="U12" s="267">
        <v>0</v>
      </c>
      <c r="V12" s="267">
        <v>20695.939999999999</v>
      </c>
      <c r="W12" s="267">
        <v>0</v>
      </c>
      <c r="X12" s="267">
        <v>642299.73</v>
      </c>
      <c r="Y12" s="267">
        <v>738100</v>
      </c>
    </row>
    <row r="13" spans="1:25" x14ac:dyDescent="0.3">
      <c r="A13" s="267" t="s">
        <v>33</v>
      </c>
    </row>
    <row r="14" spans="1:25" x14ac:dyDescent="0.3">
      <c r="A14" s="267" t="s">
        <v>34</v>
      </c>
      <c r="B14" s="267">
        <v>25515.919999999998</v>
      </c>
      <c r="C14" s="267">
        <v>103000</v>
      </c>
      <c r="D14" s="267">
        <v>25684.87</v>
      </c>
      <c r="E14" s="267">
        <v>0</v>
      </c>
      <c r="F14" s="267">
        <v>26318.51</v>
      </c>
      <c r="G14" s="267">
        <v>0</v>
      </c>
      <c r="H14" s="267">
        <v>25649.67</v>
      </c>
      <c r="I14" s="267">
        <v>0</v>
      </c>
      <c r="J14" s="267">
        <v>28950.17</v>
      </c>
      <c r="K14" s="267">
        <v>114140</v>
      </c>
      <c r="L14" s="267">
        <v>32910.699999999997</v>
      </c>
      <c r="M14" s="267">
        <v>0</v>
      </c>
      <c r="N14" s="267">
        <v>29493.66</v>
      </c>
      <c r="O14" s="267">
        <v>0</v>
      </c>
      <c r="P14" s="267">
        <v>29953.65</v>
      </c>
      <c r="Q14" s="267">
        <v>0</v>
      </c>
      <c r="R14" s="267">
        <v>30844.18</v>
      </c>
      <c r="S14" s="267">
        <v>122000</v>
      </c>
      <c r="T14" s="267">
        <v>31370.76</v>
      </c>
      <c r="U14" s="267">
        <v>0</v>
      </c>
      <c r="V14" s="267">
        <v>0</v>
      </c>
      <c r="W14" s="267">
        <v>0</v>
      </c>
      <c r="X14" s="267">
        <v>286692.09000000003</v>
      </c>
      <c r="Y14" s="267">
        <v>339140</v>
      </c>
    </row>
    <row r="15" spans="1:25" x14ac:dyDescent="0.3">
      <c r="A15" s="267" t="s">
        <v>35</v>
      </c>
    </row>
    <row r="16" spans="1:25" x14ac:dyDescent="0.3">
      <c r="A16" s="267" t="s">
        <v>318</v>
      </c>
    </row>
    <row r="17" spans="1:25" x14ac:dyDescent="0.3">
      <c r="A17" s="267" t="s">
        <v>42</v>
      </c>
    </row>
    <row r="18" spans="1:25" x14ac:dyDescent="0.3">
      <c r="A18" s="267" t="s">
        <v>43</v>
      </c>
      <c r="B18" s="267">
        <v>1474.05</v>
      </c>
      <c r="C18" s="267">
        <v>0</v>
      </c>
      <c r="D18" s="267">
        <v>181.66</v>
      </c>
      <c r="E18" s="267">
        <v>0</v>
      </c>
      <c r="F18" s="267">
        <v>1094.74</v>
      </c>
      <c r="G18" s="267">
        <v>0</v>
      </c>
      <c r="H18" s="267">
        <v>170.85</v>
      </c>
      <c r="I18" s="267">
        <v>0</v>
      </c>
      <c r="J18" s="267">
        <v>1668.68</v>
      </c>
      <c r="K18" s="267">
        <v>3200</v>
      </c>
      <c r="L18" s="267">
        <v>59.94</v>
      </c>
      <c r="M18" s="267">
        <v>0</v>
      </c>
      <c r="N18" s="267">
        <v>1173.04</v>
      </c>
      <c r="O18" s="267">
        <v>0</v>
      </c>
      <c r="P18" s="267">
        <v>1041.23</v>
      </c>
      <c r="Q18" s="267">
        <v>0</v>
      </c>
      <c r="R18" s="267">
        <v>1704.39</v>
      </c>
      <c r="S18" s="267">
        <v>3300</v>
      </c>
      <c r="T18" s="267">
        <v>239.11</v>
      </c>
      <c r="U18" s="267">
        <v>0</v>
      </c>
      <c r="V18" s="267">
        <v>0</v>
      </c>
      <c r="W18" s="267">
        <v>0</v>
      </c>
      <c r="X18" s="267">
        <v>8807.69</v>
      </c>
      <c r="Y18" s="267">
        <v>6500</v>
      </c>
    </row>
    <row r="19" spans="1:25" x14ac:dyDescent="0.3">
      <c r="A19" s="267" t="s">
        <v>44</v>
      </c>
      <c r="B19" s="267">
        <v>1113.4000000000001</v>
      </c>
      <c r="C19" s="267">
        <v>0</v>
      </c>
      <c r="D19" s="267">
        <v>1113.52</v>
      </c>
      <c r="E19" s="267">
        <v>0</v>
      </c>
      <c r="F19" s="267">
        <v>1128.67</v>
      </c>
      <c r="G19" s="267">
        <v>0</v>
      </c>
      <c r="H19" s="267">
        <v>1051.53</v>
      </c>
      <c r="I19" s="267">
        <v>0</v>
      </c>
      <c r="J19" s="267">
        <v>1013.72</v>
      </c>
      <c r="K19" s="267">
        <v>4000</v>
      </c>
      <c r="L19" s="267">
        <v>1099.75</v>
      </c>
      <c r="M19" s="267">
        <v>0</v>
      </c>
      <c r="N19" s="267">
        <v>1239.0899999999999</v>
      </c>
      <c r="O19" s="267">
        <v>0</v>
      </c>
      <c r="P19" s="267">
        <v>891.68</v>
      </c>
      <c r="Q19" s="267">
        <v>0</v>
      </c>
      <c r="R19" s="267">
        <v>1265.67</v>
      </c>
      <c r="S19" s="267">
        <v>4500</v>
      </c>
      <c r="T19" s="267">
        <v>988.95</v>
      </c>
      <c r="U19" s="267">
        <v>0</v>
      </c>
      <c r="V19" s="267">
        <v>0</v>
      </c>
      <c r="W19" s="267">
        <v>0</v>
      </c>
      <c r="X19" s="267">
        <v>10905.98</v>
      </c>
      <c r="Y19" s="267">
        <v>8500</v>
      </c>
    </row>
    <row r="20" spans="1:25" x14ac:dyDescent="0.3">
      <c r="A20" s="267" t="s">
        <v>92</v>
      </c>
      <c r="B20" s="267">
        <v>0</v>
      </c>
      <c r="C20" s="267">
        <v>6000</v>
      </c>
      <c r="D20" s="267">
        <v>0</v>
      </c>
      <c r="E20" s="267">
        <v>0</v>
      </c>
      <c r="F20" s="267">
        <v>0</v>
      </c>
      <c r="G20" s="267">
        <v>0</v>
      </c>
      <c r="H20" s="267">
        <v>0</v>
      </c>
      <c r="I20" s="267">
        <v>0</v>
      </c>
      <c r="J20" s="267">
        <v>0</v>
      </c>
      <c r="K20" s="267">
        <v>0</v>
      </c>
      <c r="L20" s="267">
        <v>0</v>
      </c>
      <c r="M20" s="267">
        <v>0</v>
      </c>
      <c r="N20" s="267">
        <v>0</v>
      </c>
      <c r="P20" s="267">
        <v>0</v>
      </c>
      <c r="R20" s="267">
        <v>0</v>
      </c>
      <c r="T20" s="267">
        <v>0</v>
      </c>
      <c r="V20" s="267">
        <v>0</v>
      </c>
      <c r="W20" s="267">
        <v>0</v>
      </c>
      <c r="X20" s="267">
        <v>0</v>
      </c>
      <c r="Y20" s="267">
        <v>6000</v>
      </c>
    </row>
    <row r="21" spans="1:25" x14ac:dyDescent="0.3">
      <c r="A21" s="267" t="s">
        <v>45</v>
      </c>
      <c r="B21" s="267">
        <v>2587.4499999999998</v>
      </c>
      <c r="C21" s="267">
        <v>6000</v>
      </c>
      <c r="D21" s="267">
        <v>1295.18</v>
      </c>
      <c r="E21" s="267">
        <v>0</v>
      </c>
      <c r="F21" s="267">
        <v>2223.41</v>
      </c>
      <c r="G21" s="267">
        <v>0</v>
      </c>
      <c r="H21" s="267">
        <v>1222.3800000000001</v>
      </c>
      <c r="I21" s="267">
        <v>0</v>
      </c>
      <c r="J21" s="267">
        <v>2682.4</v>
      </c>
      <c r="K21" s="267">
        <v>7200</v>
      </c>
      <c r="L21" s="267">
        <v>1159.69</v>
      </c>
      <c r="M21" s="267">
        <v>0</v>
      </c>
      <c r="N21" s="267">
        <v>2412.13</v>
      </c>
      <c r="O21" s="267">
        <v>0</v>
      </c>
      <c r="P21" s="267">
        <v>1932.91</v>
      </c>
      <c r="Q21" s="267">
        <v>0</v>
      </c>
      <c r="R21" s="267">
        <v>2970.06</v>
      </c>
      <c r="S21" s="267">
        <v>7800</v>
      </c>
      <c r="T21" s="267">
        <v>1228.06</v>
      </c>
      <c r="U21" s="267">
        <v>0</v>
      </c>
      <c r="V21" s="267">
        <v>0</v>
      </c>
      <c r="W21" s="267">
        <v>0</v>
      </c>
      <c r="X21" s="267">
        <v>19713.669999999998</v>
      </c>
      <c r="Y21" s="267">
        <v>21000</v>
      </c>
    </row>
    <row r="22" spans="1:25" x14ac:dyDescent="0.3">
      <c r="A22" s="267" t="s">
        <v>47</v>
      </c>
      <c r="B22" s="267">
        <v>286.04000000000002</v>
      </c>
      <c r="C22" s="267">
        <v>1500</v>
      </c>
      <c r="D22" s="267">
        <v>359.27</v>
      </c>
      <c r="E22" s="267">
        <v>0</v>
      </c>
      <c r="F22" s="267">
        <v>262.01</v>
      </c>
      <c r="G22" s="267">
        <v>0</v>
      </c>
      <c r="H22" s="267">
        <v>464.14</v>
      </c>
      <c r="I22" s="267">
        <v>0</v>
      </c>
      <c r="J22" s="267">
        <v>712.13</v>
      </c>
      <c r="K22" s="267">
        <v>1500</v>
      </c>
      <c r="L22" s="267">
        <v>128.41</v>
      </c>
      <c r="M22" s="267">
        <v>0</v>
      </c>
      <c r="N22" s="267">
        <v>552.49</v>
      </c>
      <c r="O22" s="267">
        <v>0</v>
      </c>
      <c r="P22" s="267">
        <v>244.35</v>
      </c>
      <c r="Q22" s="267">
        <v>0</v>
      </c>
      <c r="R22" s="267">
        <v>424.81</v>
      </c>
      <c r="S22" s="267">
        <v>1500</v>
      </c>
      <c r="T22" s="267">
        <v>386.24</v>
      </c>
      <c r="U22" s="267">
        <v>0</v>
      </c>
      <c r="V22" s="267">
        <v>0</v>
      </c>
      <c r="W22" s="267">
        <v>0</v>
      </c>
      <c r="X22" s="267">
        <v>3819.89</v>
      </c>
      <c r="Y22" s="267">
        <v>4500</v>
      </c>
    </row>
    <row r="23" spans="1:25" x14ac:dyDescent="0.3">
      <c r="A23" s="267" t="s">
        <v>48</v>
      </c>
      <c r="B23" s="267">
        <v>1087.97</v>
      </c>
      <c r="C23" s="267">
        <v>3500</v>
      </c>
      <c r="D23" s="267">
        <v>676.13</v>
      </c>
      <c r="E23" s="267">
        <v>0</v>
      </c>
      <c r="F23" s="267">
        <v>738.04</v>
      </c>
      <c r="G23" s="267">
        <v>0</v>
      </c>
      <c r="H23" s="267">
        <v>1088.24</v>
      </c>
      <c r="I23" s="267">
        <v>0</v>
      </c>
      <c r="J23" s="267">
        <v>588.24</v>
      </c>
      <c r="K23" s="267">
        <v>3550</v>
      </c>
      <c r="L23" s="267">
        <v>588.24</v>
      </c>
      <c r="M23" s="267">
        <v>0</v>
      </c>
      <c r="N23" s="267">
        <v>1092.57</v>
      </c>
      <c r="O23" s="267">
        <v>0</v>
      </c>
      <c r="P23" s="267">
        <v>741.77</v>
      </c>
      <c r="Q23" s="267">
        <v>0</v>
      </c>
      <c r="R23" s="267">
        <v>588.24</v>
      </c>
      <c r="S23" s="267">
        <v>3100</v>
      </c>
      <c r="T23" s="267">
        <v>588.24</v>
      </c>
      <c r="U23" s="267">
        <v>0</v>
      </c>
      <c r="V23" s="267">
        <v>0</v>
      </c>
      <c r="W23" s="267">
        <v>0</v>
      </c>
      <c r="X23" s="267">
        <v>7777.68</v>
      </c>
      <c r="Y23" s="267">
        <v>10150</v>
      </c>
    </row>
    <row r="24" spans="1:25" x14ac:dyDescent="0.3">
      <c r="A24" s="267" t="s">
        <v>49</v>
      </c>
      <c r="B24" s="267">
        <v>237.47</v>
      </c>
      <c r="C24" s="267">
        <v>250</v>
      </c>
      <c r="D24" s="267">
        <v>110.1</v>
      </c>
      <c r="E24" s="267">
        <v>0</v>
      </c>
      <c r="F24" s="267">
        <v>0</v>
      </c>
      <c r="G24" s="267">
        <v>0</v>
      </c>
      <c r="H24" s="267">
        <v>270</v>
      </c>
      <c r="I24" s="267">
        <v>0</v>
      </c>
      <c r="J24" s="267">
        <v>0</v>
      </c>
      <c r="K24" s="267">
        <v>300</v>
      </c>
      <c r="L24" s="267">
        <v>0</v>
      </c>
      <c r="M24" s="267">
        <v>0</v>
      </c>
      <c r="N24" s="267">
        <v>0</v>
      </c>
      <c r="O24" s="267">
        <v>0</v>
      </c>
      <c r="P24" s="267">
        <v>6.84</v>
      </c>
      <c r="Q24" s="267">
        <v>0</v>
      </c>
      <c r="R24" s="267">
        <v>88.74</v>
      </c>
      <c r="S24" s="267">
        <v>500</v>
      </c>
      <c r="T24" s="267">
        <v>0</v>
      </c>
      <c r="U24" s="267">
        <v>0</v>
      </c>
      <c r="V24" s="267">
        <v>0</v>
      </c>
      <c r="W24" s="267">
        <v>0</v>
      </c>
      <c r="X24" s="267">
        <v>713.15</v>
      </c>
      <c r="Y24" s="267">
        <v>1050</v>
      </c>
    </row>
    <row r="25" spans="1:25" x14ac:dyDescent="0.3">
      <c r="A25" s="267" t="s">
        <v>317</v>
      </c>
      <c r="B25" s="267">
        <v>4198.93</v>
      </c>
      <c r="C25" s="267">
        <v>11250</v>
      </c>
      <c r="D25" s="267">
        <v>2440.6799999999998</v>
      </c>
      <c r="E25" s="267">
        <v>0</v>
      </c>
      <c r="F25" s="267">
        <v>3223.46</v>
      </c>
      <c r="G25" s="267">
        <v>0</v>
      </c>
      <c r="H25" s="267">
        <v>3044.76</v>
      </c>
      <c r="I25" s="267">
        <v>0</v>
      </c>
      <c r="J25" s="267">
        <v>3982.77</v>
      </c>
      <c r="K25" s="267">
        <v>12550</v>
      </c>
      <c r="L25" s="267">
        <v>1876.34</v>
      </c>
      <c r="M25" s="267">
        <v>0</v>
      </c>
      <c r="N25" s="267">
        <v>4057.19</v>
      </c>
      <c r="O25" s="267">
        <v>0</v>
      </c>
      <c r="P25" s="267">
        <v>2925.87</v>
      </c>
      <c r="Q25" s="267">
        <v>0</v>
      </c>
      <c r="R25" s="267">
        <v>4071.85</v>
      </c>
      <c r="S25" s="267">
        <v>12900</v>
      </c>
      <c r="T25" s="267">
        <v>2202.54</v>
      </c>
      <c r="U25" s="267">
        <v>0</v>
      </c>
      <c r="V25" s="267">
        <v>0</v>
      </c>
      <c r="W25" s="267">
        <v>0</v>
      </c>
      <c r="X25" s="267">
        <v>32024.39</v>
      </c>
      <c r="Y25" s="267">
        <v>36700</v>
      </c>
    </row>
    <row r="26" spans="1:25" x14ac:dyDescent="0.3">
      <c r="A26" s="267" t="s">
        <v>316</v>
      </c>
    </row>
    <row r="27" spans="1:25" x14ac:dyDescent="0.3">
      <c r="A27" s="267" t="s">
        <v>36</v>
      </c>
      <c r="B27" s="267">
        <v>1974.19</v>
      </c>
      <c r="C27" s="267">
        <v>3000</v>
      </c>
      <c r="D27" s="267">
        <v>895.09</v>
      </c>
      <c r="E27" s="267">
        <v>0</v>
      </c>
      <c r="F27" s="267">
        <v>940.28</v>
      </c>
      <c r="G27" s="267">
        <v>0</v>
      </c>
      <c r="H27" s="267">
        <v>3129.84</v>
      </c>
      <c r="I27" s="267">
        <v>0</v>
      </c>
      <c r="J27" s="267">
        <v>5804.42</v>
      </c>
      <c r="K27" s="267">
        <v>2000</v>
      </c>
      <c r="L27" s="267">
        <v>2236.21</v>
      </c>
      <c r="M27" s="267">
        <v>0</v>
      </c>
      <c r="N27" s="267">
        <v>-32.57</v>
      </c>
      <c r="O27" s="267">
        <v>0</v>
      </c>
      <c r="P27" s="267">
        <v>0</v>
      </c>
      <c r="Q27" s="267">
        <v>0</v>
      </c>
      <c r="R27" s="267">
        <v>0</v>
      </c>
      <c r="S27" s="267">
        <v>2000</v>
      </c>
      <c r="T27" s="267">
        <v>0</v>
      </c>
      <c r="U27" s="267">
        <v>0</v>
      </c>
      <c r="V27" s="267">
        <v>0</v>
      </c>
      <c r="W27" s="267">
        <v>0</v>
      </c>
      <c r="X27" s="267">
        <v>14947.46</v>
      </c>
      <c r="Y27" s="267">
        <v>7000</v>
      </c>
    </row>
    <row r="28" spans="1:25" x14ac:dyDescent="0.3">
      <c r="A28" s="267" t="s">
        <v>38</v>
      </c>
      <c r="B28" s="267">
        <v>0</v>
      </c>
      <c r="C28" s="267">
        <v>0</v>
      </c>
      <c r="D28" s="267">
        <v>2095</v>
      </c>
      <c r="E28" s="267">
        <v>0</v>
      </c>
      <c r="F28" s="267">
        <v>0</v>
      </c>
      <c r="G28" s="267">
        <v>0</v>
      </c>
      <c r="H28" s="267">
        <v>0</v>
      </c>
      <c r="I28" s="267">
        <v>0</v>
      </c>
      <c r="J28" s="267">
        <v>0</v>
      </c>
      <c r="K28" s="267">
        <v>2500</v>
      </c>
      <c r="L28" s="267">
        <v>2095</v>
      </c>
      <c r="M28" s="267">
        <v>0</v>
      </c>
      <c r="N28" s="267">
        <v>0</v>
      </c>
      <c r="O28" s="267">
        <v>0</v>
      </c>
      <c r="P28" s="267">
        <v>0</v>
      </c>
      <c r="Q28" s="267">
        <v>0</v>
      </c>
      <c r="R28" s="267">
        <v>0</v>
      </c>
      <c r="S28" s="267">
        <v>2250</v>
      </c>
      <c r="T28" s="267">
        <v>0</v>
      </c>
      <c r="U28" s="267">
        <v>0</v>
      </c>
      <c r="V28" s="267">
        <v>0</v>
      </c>
      <c r="W28" s="267">
        <v>0</v>
      </c>
      <c r="X28" s="267">
        <v>4190</v>
      </c>
      <c r="Y28" s="267">
        <v>4750</v>
      </c>
    </row>
    <row r="29" spans="1:25" x14ac:dyDescent="0.3">
      <c r="A29" s="267" t="s">
        <v>39</v>
      </c>
      <c r="B29" s="267">
        <v>47.85</v>
      </c>
      <c r="C29" s="267">
        <v>0</v>
      </c>
      <c r="D29" s="267">
        <v>177.6</v>
      </c>
      <c r="E29" s="267">
        <v>0</v>
      </c>
      <c r="F29" s="267">
        <v>119.85</v>
      </c>
      <c r="G29" s="267">
        <v>0</v>
      </c>
      <c r="H29" s="267">
        <v>47.85</v>
      </c>
      <c r="I29" s="267">
        <v>0</v>
      </c>
      <c r="J29" s="267">
        <v>47.85</v>
      </c>
      <c r="K29" s="267">
        <v>350</v>
      </c>
      <c r="L29" s="267">
        <v>107.85</v>
      </c>
      <c r="M29" s="267">
        <v>0</v>
      </c>
      <c r="N29" s="267">
        <v>136.08000000000001</v>
      </c>
      <c r="O29" s="267">
        <v>0</v>
      </c>
      <c r="P29" s="267">
        <v>81.36</v>
      </c>
      <c r="Q29" s="267">
        <v>0</v>
      </c>
      <c r="R29" s="267">
        <v>62.85</v>
      </c>
      <c r="S29" s="267">
        <v>500</v>
      </c>
      <c r="T29" s="267">
        <v>77.849999999999994</v>
      </c>
      <c r="U29" s="267">
        <v>0</v>
      </c>
      <c r="V29" s="267">
        <v>0</v>
      </c>
      <c r="W29" s="267">
        <v>0</v>
      </c>
      <c r="X29" s="267">
        <v>906.99</v>
      </c>
      <c r="Y29" s="267">
        <v>850</v>
      </c>
    </row>
    <row r="30" spans="1:25" x14ac:dyDescent="0.3">
      <c r="A30" s="267" t="s">
        <v>315</v>
      </c>
      <c r="B30" s="267">
        <v>0</v>
      </c>
      <c r="C30" s="267">
        <v>3000</v>
      </c>
      <c r="D30" s="267">
        <v>0</v>
      </c>
      <c r="E30" s="267">
        <v>0</v>
      </c>
      <c r="F30" s="267">
        <v>0</v>
      </c>
      <c r="G30" s="267">
        <v>0</v>
      </c>
      <c r="H30" s="267">
        <v>0</v>
      </c>
      <c r="I30" s="267">
        <v>0</v>
      </c>
      <c r="J30" s="267">
        <v>0</v>
      </c>
      <c r="K30" s="267">
        <v>0</v>
      </c>
      <c r="L30" s="267">
        <v>0</v>
      </c>
      <c r="M30" s="267">
        <v>0</v>
      </c>
      <c r="N30" s="267">
        <v>0</v>
      </c>
      <c r="P30" s="267">
        <v>0</v>
      </c>
      <c r="R30" s="267">
        <v>0</v>
      </c>
      <c r="T30" s="267">
        <v>0</v>
      </c>
      <c r="V30" s="267">
        <v>0</v>
      </c>
      <c r="W30" s="267">
        <v>0</v>
      </c>
      <c r="X30" s="267">
        <v>0</v>
      </c>
      <c r="Y30" s="267">
        <v>3000</v>
      </c>
    </row>
    <row r="31" spans="1:25" x14ac:dyDescent="0.3">
      <c r="A31" s="267" t="s">
        <v>281</v>
      </c>
      <c r="B31" s="267">
        <v>2022.04</v>
      </c>
      <c r="C31" s="267">
        <v>6000</v>
      </c>
      <c r="D31" s="267">
        <v>3167.69</v>
      </c>
      <c r="E31" s="267">
        <v>0</v>
      </c>
      <c r="F31" s="267">
        <v>1060.1300000000001</v>
      </c>
      <c r="G31" s="267">
        <v>0</v>
      </c>
      <c r="H31" s="267">
        <v>3177.69</v>
      </c>
      <c r="I31" s="267">
        <v>0</v>
      </c>
      <c r="J31" s="267">
        <v>5852.27</v>
      </c>
      <c r="K31" s="267">
        <v>4850</v>
      </c>
      <c r="L31" s="267">
        <v>4439.0600000000004</v>
      </c>
      <c r="M31" s="267">
        <v>0</v>
      </c>
      <c r="N31" s="267">
        <v>103.51</v>
      </c>
      <c r="O31" s="267">
        <v>0</v>
      </c>
      <c r="P31" s="267">
        <v>81.36</v>
      </c>
      <c r="Q31" s="267">
        <v>0</v>
      </c>
      <c r="R31" s="267">
        <v>62.85</v>
      </c>
      <c r="S31" s="267">
        <v>4750</v>
      </c>
      <c r="T31" s="267">
        <v>77.849999999999994</v>
      </c>
      <c r="U31" s="267">
        <v>0</v>
      </c>
      <c r="V31" s="267">
        <v>0</v>
      </c>
      <c r="W31" s="267">
        <v>0</v>
      </c>
      <c r="X31" s="267">
        <v>20044.45</v>
      </c>
      <c r="Y31" s="267">
        <v>15600</v>
      </c>
    </row>
    <row r="32" spans="1:25" x14ac:dyDescent="0.3">
      <c r="A32" s="267" t="s">
        <v>46</v>
      </c>
      <c r="B32" s="267">
        <v>9145</v>
      </c>
      <c r="C32" s="267">
        <v>11000</v>
      </c>
      <c r="D32" s="267">
        <v>1113</v>
      </c>
      <c r="E32" s="267">
        <v>0</v>
      </c>
      <c r="F32" s="267">
        <v>100</v>
      </c>
      <c r="G32" s="267">
        <v>0</v>
      </c>
      <c r="H32" s="267">
        <v>0</v>
      </c>
      <c r="I32" s="267">
        <v>0</v>
      </c>
      <c r="J32" s="267">
        <v>0</v>
      </c>
      <c r="K32" s="267">
        <v>12300</v>
      </c>
      <c r="L32" s="267">
        <v>11103</v>
      </c>
      <c r="M32" s="267">
        <v>0</v>
      </c>
      <c r="N32" s="267">
        <v>100</v>
      </c>
      <c r="O32" s="267">
        <v>0</v>
      </c>
      <c r="P32" s="267">
        <v>0</v>
      </c>
      <c r="Q32" s="267">
        <v>0</v>
      </c>
      <c r="R32" s="267">
        <v>0</v>
      </c>
      <c r="S32" s="267">
        <v>11300</v>
      </c>
      <c r="T32" s="267">
        <v>15005</v>
      </c>
      <c r="U32" s="267">
        <v>0</v>
      </c>
      <c r="V32" s="267">
        <v>0</v>
      </c>
      <c r="W32" s="267">
        <v>0</v>
      </c>
      <c r="X32" s="267">
        <v>36566</v>
      </c>
      <c r="Y32" s="267">
        <v>34600</v>
      </c>
    </row>
    <row r="33" spans="1:25" x14ac:dyDescent="0.3">
      <c r="A33" s="267" t="s">
        <v>53</v>
      </c>
      <c r="B33" s="267">
        <v>15365.97</v>
      </c>
      <c r="C33" s="267">
        <v>28250</v>
      </c>
      <c r="D33" s="267">
        <v>6721.37</v>
      </c>
      <c r="E33" s="267">
        <v>0</v>
      </c>
      <c r="F33" s="267">
        <v>4383.59</v>
      </c>
      <c r="G33" s="267">
        <v>0</v>
      </c>
      <c r="H33" s="267">
        <v>6222.45</v>
      </c>
      <c r="I33" s="267">
        <v>0</v>
      </c>
      <c r="J33" s="267">
        <v>9835.0400000000009</v>
      </c>
      <c r="K33" s="267">
        <v>29700</v>
      </c>
      <c r="L33" s="267">
        <v>17418.400000000001</v>
      </c>
      <c r="M33" s="267">
        <v>0</v>
      </c>
      <c r="N33" s="267">
        <v>4260.7</v>
      </c>
      <c r="O33" s="267">
        <v>0</v>
      </c>
      <c r="P33" s="267">
        <v>3007.23</v>
      </c>
      <c r="Q33" s="267">
        <v>0</v>
      </c>
      <c r="R33" s="267">
        <v>4134.7</v>
      </c>
      <c r="S33" s="267">
        <v>28950</v>
      </c>
      <c r="T33" s="267">
        <v>17285.39</v>
      </c>
      <c r="U33" s="267">
        <v>0</v>
      </c>
      <c r="V33" s="267">
        <v>0</v>
      </c>
      <c r="W33" s="267">
        <v>0</v>
      </c>
      <c r="X33" s="267">
        <v>88634.84</v>
      </c>
      <c r="Y33" s="267">
        <v>86900</v>
      </c>
    </row>
    <row r="34" spans="1:25" x14ac:dyDescent="0.3">
      <c r="A34" s="267" t="s">
        <v>54</v>
      </c>
    </row>
    <row r="35" spans="1:25" x14ac:dyDescent="0.3">
      <c r="A35" s="267" t="s">
        <v>55</v>
      </c>
      <c r="B35" s="267">
        <v>757.23</v>
      </c>
      <c r="C35" s="267">
        <v>1000</v>
      </c>
      <c r="D35" s="267">
        <v>0</v>
      </c>
      <c r="E35" s="267">
        <v>0</v>
      </c>
      <c r="F35" s="267">
        <v>1740</v>
      </c>
      <c r="G35" s="267">
        <v>0</v>
      </c>
      <c r="H35" s="267">
        <v>0</v>
      </c>
      <c r="I35" s="267">
        <v>0</v>
      </c>
      <c r="J35" s="267">
        <v>0</v>
      </c>
      <c r="K35" s="267">
        <v>7000</v>
      </c>
      <c r="L35" s="267">
        <v>0</v>
      </c>
      <c r="M35" s="267">
        <v>0</v>
      </c>
      <c r="N35" s="267">
        <v>0</v>
      </c>
      <c r="O35" s="267">
        <v>0</v>
      </c>
      <c r="P35" s="267">
        <v>17820</v>
      </c>
      <c r="Q35" s="267">
        <v>0</v>
      </c>
      <c r="R35" s="267">
        <v>0</v>
      </c>
      <c r="S35" s="267">
        <v>1000</v>
      </c>
      <c r="T35" s="267">
        <v>510</v>
      </c>
      <c r="U35" s="267">
        <v>0</v>
      </c>
      <c r="V35" s="267">
        <v>0</v>
      </c>
      <c r="W35" s="267">
        <v>0</v>
      </c>
      <c r="X35" s="267">
        <v>20827.23</v>
      </c>
      <c r="Y35" s="267">
        <v>9000</v>
      </c>
    </row>
    <row r="36" spans="1:25" x14ac:dyDescent="0.3">
      <c r="A36" s="267" t="s">
        <v>314</v>
      </c>
    </row>
    <row r="37" spans="1:25" x14ac:dyDescent="0.3">
      <c r="A37" s="267" t="s">
        <v>62</v>
      </c>
      <c r="B37" s="267">
        <v>808.14</v>
      </c>
      <c r="C37" s="267">
        <v>1500</v>
      </c>
      <c r="D37" s="267">
        <v>0</v>
      </c>
      <c r="E37" s="267">
        <v>0</v>
      </c>
      <c r="F37" s="267">
        <v>303.51</v>
      </c>
      <c r="G37" s="267">
        <v>0</v>
      </c>
      <c r="H37" s="267">
        <v>679.05</v>
      </c>
      <c r="I37" s="267">
        <v>0</v>
      </c>
      <c r="J37" s="267">
        <v>283.89</v>
      </c>
      <c r="K37" s="267">
        <v>1500</v>
      </c>
      <c r="L37" s="267">
        <v>437.69</v>
      </c>
      <c r="M37" s="267">
        <v>0</v>
      </c>
      <c r="N37" s="267">
        <v>0</v>
      </c>
      <c r="O37" s="267">
        <v>0</v>
      </c>
      <c r="P37" s="267">
        <v>868.43</v>
      </c>
      <c r="Q37" s="267">
        <v>0</v>
      </c>
      <c r="R37" s="267">
        <v>801.52</v>
      </c>
      <c r="S37" s="267">
        <v>2500</v>
      </c>
      <c r="T37" s="267">
        <v>801.52</v>
      </c>
      <c r="U37" s="267">
        <v>0</v>
      </c>
      <c r="V37" s="267">
        <v>0</v>
      </c>
      <c r="W37" s="267">
        <v>0</v>
      </c>
      <c r="X37" s="267">
        <v>4983.75</v>
      </c>
      <c r="Y37" s="267">
        <v>5500</v>
      </c>
    </row>
    <row r="38" spans="1:25" x14ac:dyDescent="0.3">
      <c r="A38" s="267" t="s">
        <v>56</v>
      </c>
      <c r="B38" s="267">
        <v>1141.25</v>
      </c>
      <c r="C38" s="267">
        <v>2500</v>
      </c>
      <c r="D38" s="267">
        <v>428.8</v>
      </c>
      <c r="E38" s="267">
        <v>0</v>
      </c>
      <c r="F38" s="267">
        <v>427.8</v>
      </c>
      <c r="G38" s="267">
        <v>0</v>
      </c>
      <c r="H38" s="267">
        <v>427.8</v>
      </c>
      <c r="I38" s="267">
        <v>0</v>
      </c>
      <c r="J38" s="267">
        <v>1016.67</v>
      </c>
      <c r="K38" s="267">
        <v>2500</v>
      </c>
      <c r="L38" s="267">
        <v>1049.8</v>
      </c>
      <c r="M38" s="267">
        <v>0</v>
      </c>
      <c r="N38" s="267">
        <v>1281.1400000000001</v>
      </c>
      <c r="O38" s="267">
        <v>0</v>
      </c>
      <c r="P38" s="267">
        <v>454.8</v>
      </c>
      <c r="Q38" s="267">
        <v>0</v>
      </c>
      <c r="R38" s="267">
        <v>1127.8</v>
      </c>
      <c r="S38" s="267">
        <v>2350</v>
      </c>
      <c r="T38" s="267">
        <v>1880.67</v>
      </c>
      <c r="U38" s="267">
        <v>0</v>
      </c>
      <c r="V38" s="267">
        <v>0</v>
      </c>
      <c r="W38" s="267">
        <v>0</v>
      </c>
      <c r="X38" s="267">
        <v>9236.5300000000007</v>
      </c>
      <c r="Y38" s="267">
        <v>7350</v>
      </c>
    </row>
    <row r="39" spans="1:25" x14ac:dyDescent="0.3">
      <c r="A39" s="267" t="s">
        <v>313</v>
      </c>
      <c r="B39" s="267">
        <v>1949.39</v>
      </c>
      <c r="C39" s="267">
        <v>4000</v>
      </c>
      <c r="D39" s="267">
        <v>428.8</v>
      </c>
      <c r="E39" s="267">
        <v>0</v>
      </c>
      <c r="F39" s="267">
        <v>731.31</v>
      </c>
      <c r="G39" s="267">
        <v>0</v>
      </c>
      <c r="H39" s="267">
        <v>1106.8499999999999</v>
      </c>
      <c r="I39" s="267">
        <v>0</v>
      </c>
      <c r="J39" s="267">
        <v>1300.56</v>
      </c>
      <c r="K39" s="267">
        <v>4000</v>
      </c>
      <c r="L39" s="267">
        <v>1487.49</v>
      </c>
      <c r="M39" s="267">
        <v>0</v>
      </c>
      <c r="N39" s="267">
        <v>1281.1400000000001</v>
      </c>
      <c r="O39" s="267">
        <v>0</v>
      </c>
      <c r="P39" s="267">
        <v>1323.23</v>
      </c>
      <c r="Q39" s="267">
        <v>0</v>
      </c>
      <c r="R39" s="267">
        <v>1929.32</v>
      </c>
      <c r="S39" s="267">
        <v>4850</v>
      </c>
      <c r="T39" s="267">
        <v>2682.19</v>
      </c>
      <c r="U39" s="267">
        <v>0</v>
      </c>
      <c r="V39" s="267">
        <v>0</v>
      </c>
      <c r="W39" s="267">
        <v>0</v>
      </c>
      <c r="X39" s="267">
        <v>14220.28</v>
      </c>
      <c r="Y39" s="267">
        <v>12850</v>
      </c>
    </row>
    <row r="40" spans="1:25" x14ac:dyDescent="0.3">
      <c r="A40" s="267" t="s">
        <v>312</v>
      </c>
    </row>
    <row r="41" spans="1:25" x14ac:dyDescent="0.3">
      <c r="A41" s="267" t="s">
        <v>58</v>
      </c>
      <c r="B41" s="267">
        <v>4598.46</v>
      </c>
      <c r="C41" s="267">
        <v>0</v>
      </c>
      <c r="D41" s="267">
        <v>2590.61</v>
      </c>
      <c r="E41" s="267">
        <v>0</v>
      </c>
      <c r="F41" s="267">
        <v>3339.59</v>
      </c>
      <c r="G41" s="267">
        <v>0</v>
      </c>
      <c r="H41" s="267">
        <v>3039.04</v>
      </c>
      <c r="I41" s="267">
        <v>0</v>
      </c>
      <c r="J41" s="267">
        <v>4194.7</v>
      </c>
      <c r="K41" s="267">
        <v>15000</v>
      </c>
      <c r="L41" s="267">
        <v>3006.63</v>
      </c>
      <c r="M41" s="267">
        <v>0</v>
      </c>
      <c r="N41" s="267">
        <v>3632.06</v>
      </c>
      <c r="O41" s="267">
        <v>0</v>
      </c>
      <c r="P41" s="267">
        <v>2954.29</v>
      </c>
      <c r="Q41" s="267">
        <v>0</v>
      </c>
      <c r="R41" s="267">
        <v>4416.33</v>
      </c>
      <c r="S41" s="267">
        <v>15000</v>
      </c>
      <c r="T41" s="267">
        <v>3383.91</v>
      </c>
      <c r="U41" s="267">
        <v>0</v>
      </c>
      <c r="V41" s="267">
        <v>0</v>
      </c>
      <c r="W41" s="267">
        <v>0</v>
      </c>
      <c r="X41" s="267">
        <v>35155.620000000003</v>
      </c>
      <c r="Y41" s="267">
        <v>30000</v>
      </c>
    </row>
    <row r="42" spans="1:25" x14ac:dyDescent="0.3">
      <c r="A42" s="267" t="s">
        <v>59</v>
      </c>
      <c r="B42" s="267">
        <v>10</v>
      </c>
      <c r="C42" s="267">
        <v>0</v>
      </c>
      <c r="D42" s="267">
        <v>266.51</v>
      </c>
      <c r="E42" s="267">
        <v>0</v>
      </c>
      <c r="F42" s="267">
        <v>315.77999999999997</v>
      </c>
      <c r="G42" s="267">
        <v>0</v>
      </c>
      <c r="H42" s="267">
        <v>0</v>
      </c>
      <c r="I42" s="267">
        <v>0</v>
      </c>
      <c r="J42" s="267">
        <v>0</v>
      </c>
      <c r="K42" s="267">
        <v>1000</v>
      </c>
      <c r="L42" s="267">
        <v>0</v>
      </c>
      <c r="M42" s="267">
        <v>0</v>
      </c>
      <c r="N42" s="267">
        <v>518.73</v>
      </c>
      <c r="O42" s="267">
        <v>0</v>
      </c>
      <c r="P42" s="267">
        <v>1087.79</v>
      </c>
      <c r="Q42" s="267">
        <v>0</v>
      </c>
      <c r="R42" s="267">
        <v>0</v>
      </c>
      <c r="S42" s="267">
        <v>1000</v>
      </c>
      <c r="T42" s="267">
        <v>0</v>
      </c>
      <c r="U42" s="267">
        <v>0</v>
      </c>
      <c r="V42" s="267">
        <v>0</v>
      </c>
      <c r="W42" s="267">
        <v>0</v>
      </c>
      <c r="X42" s="267">
        <v>2198.81</v>
      </c>
      <c r="Y42" s="267">
        <v>2000</v>
      </c>
    </row>
    <row r="43" spans="1:25" x14ac:dyDescent="0.3">
      <c r="A43" s="267" t="s">
        <v>60</v>
      </c>
      <c r="B43" s="267">
        <v>0</v>
      </c>
      <c r="D43" s="267">
        <v>0</v>
      </c>
      <c r="F43" s="267">
        <v>0</v>
      </c>
      <c r="G43" s="267">
        <v>0</v>
      </c>
      <c r="H43" s="267">
        <v>0</v>
      </c>
      <c r="I43" s="267">
        <v>0</v>
      </c>
      <c r="J43" s="267">
        <v>42</v>
      </c>
      <c r="K43" s="267">
        <v>170</v>
      </c>
      <c r="L43" s="267">
        <v>42</v>
      </c>
      <c r="M43" s="267">
        <v>0</v>
      </c>
      <c r="N43" s="267">
        <v>42</v>
      </c>
      <c r="O43" s="267">
        <v>0</v>
      </c>
      <c r="P43" s="267">
        <v>42</v>
      </c>
      <c r="Q43" s="267">
        <v>0</v>
      </c>
      <c r="R43" s="267">
        <v>42</v>
      </c>
      <c r="S43" s="267">
        <v>170</v>
      </c>
      <c r="T43" s="267">
        <v>42</v>
      </c>
      <c r="U43" s="267">
        <v>0</v>
      </c>
      <c r="V43" s="267">
        <v>0</v>
      </c>
      <c r="W43" s="267">
        <v>0</v>
      </c>
      <c r="X43" s="267">
        <v>252</v>
      </c>
      <c r="Y43" s="267">
        <v>340</v>
      </c>
    </row>
    <row r="44" spans="1:25" x14ac:dyDescent="0.3">
      <c r="A44" s="267" t="s">
        <v>311</v>
      </c>
      <c r="B44" s="267">
        <v>0</v>
      </c>
      <c r="C44" s="267">
        <v>11000</v>
      </c>
      <c r="D44" s="267">
        <v>0</v>
      </c>
      <c r="E44" s="267">
        <v>0</v>
      </c>
      <c r="F44" s="267">
        <v>0</v>
      </c>
      <c r="H44" s="267">
        <v>0</v>
      </c>
      <c r="J44" s="267">
        <v>0</v>
      </c>
      <c r="L44" s="267">
        <v>0</v>
      </c>
      <c r="N44" s="267">
        <v>0</v>
      </c>
      <c r="P44" s="267">
        <v>0</v>
      </c>
      <c r="R44" s="267">
        <v>0</v>
      </c>
      <c r="T44" s="267">
        <v>0</v>
      </c>
      <c r="V44" s="267">
        <v>0</v>
      </c>
      <c r="W44" s="267">
        <v>0</v>
      </c>
      <c r="X44" s="267">
        <v>0</v>
      </c>
      <c r="Y44" s="267">
        <v>11000</v>
      </c>
    </row>
    <row r="45" spans="1:25" x14ac:dyDescent="0.3">
      <c r="A45" s="267" t="s">
        <v>310</v>
      </c>
      <c r="B45" s="267">
        <v>4608.46</v>
      </c>
      <c r="C45" s="267">
        <v>11000</v>
      </c>
      <c r="D45" s="267">
        <v>2857.12</v>
      </c>
      <c r="E45" s="267">
        <v>0</v>
      </c>
      <c r="F45" s="267">
        <v>3655.37</v>
      </c>
      <c r="G45" s="267">
        <v>0</v>
      </c>
      <c r="H45" s="267">
        <v>3039.04</v>
      </c>
      <c r="I45" s="267">
        <v>0</v>
      </c>
      <c r="J45" s="267">
        <v>4236.7</v>
      </c>
      <c r="K45" s="267">
        <v>16170</v>
      </c>
      <c r="L45" s="267">
        <v>3048.63</v>
      </c>
      <c r="M45" s="267">
        <v>0</v>
      </c>
      <c r="N45" s="267">
        <v>4192.79</v>
      </c>
      <c r="O45" s="267">
        <v>0</v>
      </c>
      <c r="P45" s="267">
        <v>4084.08</v>
      </c>
      <c r="Q45" s="267">
        <v>0</v>
      </c>
      <c r="R45" s="267">
        <v>4458.33</v>
      </c>
      <c r="S45" s="267">
        <v>16170</v>
      </c>
      <c r="T45" s="267">
        <v>3425.91</v>
      </c>
      <c r="U45" s="267">
        <v>0</v>
      </c>
      <c r="V45" s="267">
        <v>0</v>
      </c>
      <c r="W45" s="267">
        <v>0</v>
      </c>
      <c r="X45" s="267">
        <v>37606.43</v>
      </c>
      <c r="Y45" s="267">
        <v>43340</v>
      </c>
    </row>
    <row r="46" spans="1:25" x14ac:dyDescent="0.3">
      <c r="A46" s="267" t="s">
        <v>309</v>
      </c>
    </row>
    <row r="47" spans="1:25" x14ac:dyDescent="0.3">
      <c r="A47" s="267" t="s">
        <v>279</v>
      </c>
      <c r="B47" s="267">
        <v>8137.69</v>
      </c>
      <c r="C47" s="267">
        <v>15000</v>
      </c>
      <c r="D47" s="267">
        <v>0</v>
      </c>
      <c r="E47" s="267">
        <v>0</v>
      </c>
      <c r="F47" s="267">
        <v>22</v>
      </c>
      <c r="G47" s="267">
        <v>0</v>
      </c>
      <c r="H47" s="267">
        <v>181.05</v>
      </c>
      <c r="I47" s="267">
        <v>0</v>
      </c>
      <c r="J47" s="267">
        <v>5793.57</v>
      </c>
      <c r="K47" s="267">
        <v>15000</v>
      </c>
      <c r="L47" s="267">
        <v>3989.69</v>
      </c>
      <c r="M47" s="267">
        <v>0</v>
      </c>
      <c r="N47" s="267">
        <v>5032.4799999999996</v>
      </c>
      <c r="O47" s="267">
        <v>0</v>
      </c>
      <c r="P47" s="267">
        <v>-55.78</v>
      </c>
      <c r="Q47" s="267">
        <v>0</v>
      </c>
      <c r="R47" s="267">
        <v>2239.3000000000002</v>
      </c>
      <c r="S47" s="267">
        <v>15000</v>
      </c>
      <c r="T47" s="267">
        <v>5159.2299999999996</v>
      </c>
      <c r="U47" s="267">
        <v>0</v>
      </c>
      <c r="V47" s="267">
        <v>0</v>
      </c>
      <c r="W47" s="267">
        <v>0</v>
      </c>
      <c r="X47" s="267">
        <v>30499.23</v>
      </c>
      <c r="Y47" s="267">
        <v>45000</v>
      </c>
    </row>
    <row r="48" spans="1:25" x14ac:dyDescent="0.3">
      <c r="A48" s="267" t="s">
        <v>68</v>
      </c>
      <c r="B48" s="267">
        <v>788.08</v>
      </c>
      <c r="C48" s="267">
        <v>4500</v>
      </c>
      <c r="D48" s="267">
        <v>525.52</v>
      </c>
      <c r="E48" s="267">
        <v>0</v>
      </c>
      <c r="F48" s="267">
        <v>31.37</v>
      </c>
      <c r="G48" s="267">
        <v>0</v>
      </c>
      <c r="H48" s="267">
        <v>956.56</v>
      </c>
      <c r="I48" s="267">
        <v>0</v>
      </c>
      <c r="J48" s="267">
        <v>1146.6099999999999</v>
      </c>
      <c r="K48" s="267">
        <v>4500</v>
      </c>
      <c r="L48" s="267">
        <v>2536.39</v>
      </c>
      <c r="M48" s="267">
        <v>0</v>
      </c>
      <c r="N48" s="267">
        <v>0</v>
      </c>
      <c r="O48" s="267">
        <v>0</v>
      </c>
      <c r="P48" s="267">
        <v>93.85</v>
      </c>
      <c r="Q48" s="267">
        <v>0</v>
      </c>
      <c r="R48" s="267">
        <v>1186.99</v>
      </c>
      <c r="S48" s="267">
        <v>1000</v>
      </c>
      <c r="T48" s="267">
        <v>29.43</v>
      </c>
      <c r="U48" s="267">
        <v>0</v>
      </c>
      <c r="V48" s="267">
        <v>0</v>
      </c>
      <c r="W48" s="267">
        <v>0</v>
      </c>
      <c r="X48" s="267">
        <v>7294.8</v>
      </c>
      <c r="Y48" s="267">
        <v>10000</v>
      </c>
    </row>
    <row r="49" spans="1:25" x14ac:dyDescent="0.3">
      <c r="A49" s="267" t="s">
        <v>308</v>
      </c>
      <c r="B49" s="267">
        <v>0</v>
      </c>
      <c r="D49" s="267">
        <v>0</v>
      </c>
      <c r="F49" s="267">
        <v>0</v>
      </c>
      <c r="H49" s="267">
        <v>0</v>
      </c>
      <c r="J49" s="267">
        <v>0</v>
      </c>
      <c r="L49" s="267">
        <v>0</v>
      </c>
      <c r="N49" s="267">
        <v>0</v>
      </c>
      <c r="P49" s="267">
        <v>5052.38</v>
      </c>
      <c r="R49" s="267">
        <v>5136.08</v>
      </c>
      <c r="T49" s="267">
        <v>0</v>
      </c>
      <c r="V49" s="267">
        <v>0</v>
      </c>
      <c r="W49" s="267">
        <v>0</v>
      </c>
      <c r="X49" s="267">
        <v>10188.459999999999</v>
      </c>
      <c r="Y49" s="267">
        <v>0</v>
      </c>
    </row>
    <row r="50" spans="1:25" x14ac:dyDescent="0.3">
      <c r="A50" s="267" t="s">
        <v>307</v>
      </c>
      <c r="B50" s="267">
        <v>8925.77</v>
      </c>
      <c r="C50" s="267">
        <v>19500</v>
      </c>
      <c r="D50" s="267">
        <v>525.52</v>
      </c>
      <c r="E50" s="267">
        <v>0</v>
      </c>
      <c r="F50" s="267">
        <v>53.37</v>
      </c>
      <c r="G50" s="267">
        <v>0</v>
      </c>
      <c r="H50" s="267">
        <v>1137.6099999999999</v>
      </c>
      <c r="I50" s="267">
        <v>0</v>
      </c>
      <c r="J50" s="267">
        <v>6940.18</v>
      </c>
      <c r="K50" s="267">
        <v>19500</v>
      </c>
      <c r="L50" s="267">
        <v>6526.08</v>
      </c>
      <c r="M50" s="267">
        <v>0</v>
      </c>
      <c r="N50" s="267">
        <v>5032.4799999999996</v>
      </c>
      <c r="O50" s="267">
        <v>0</v>
      </c>
      <c r="P50" s="267">
        <v>5090.45</v>
      </c>
      <c r="Q50" s="267">
        <v>0</v>
      </c>
      <c r="R50" s="267">
        <v>8562.3700000000008</v>
      </c>
      <c r="S50" s="267">
        <v>16000</v>
      </c>
      <c r="T50" s="267">
        <v>5188.66</v>
      </c>
      <c r="U50" s="267">
        <v>0</v>
      </c>
      <c r="V50" s="267">
        <v>0</v>
      </c>
      <c r="W50" s="267">
        <v>0</v>
      </c>
      <c r="X50" s="267">
        <v>47982.49</v>
      </c>
      <c r="Y50" s="267">
        <v>55000</v>
      </c>
    </row>
    <row r="51" spans="1:25" x14ac:dyDescent="0.3">
      <c r="A51" s="267" t="s">
        <v>63</v>
      </c>
    </row>
    <row r="52" spans="1:25" x14ac:dyDescent="0.3">
      <c r="A52" s="267" t="s">
        <v>64</v>
      </c>
      <c r="B52" s="267">
        <v>155.49</v>
      </c>
      <c r="D52" s="267">
        <v>16.27</v>
      </c>
      <c r="F52" s="267">
        <v>-50</v>
      </c>
      <c r="H52" s="267">
        <v>102.64</v>
      </c>
      <c r="J52" s="267">
        <v>1291.71</v>
      </c>
      <c r="L52" s="267">
        <v>203.73</v>
      </c>
      <c r="N52" s="267">
        <v>1133.32</v>
      </c>
      <c r="O52" s="267">
        <v>0</v>
      </c>
      <c r="P52" s="267">
        <v>19.329999999999998</v>
      </c>
      <c r="Q52" s="267">
        <v>0</v>
      </c>
      <c r="R52" s="267">
        <v>1451.03</v>
      </c>
      <c r="S52" s="267">
        <v>2000</v>
      </c>
      <c r="T52" s="267">
        <v>2096.85</v>
      </c>
      <c r="U52" s="267">
        <v>0</v>
      </c>
      <c r="V52" s="267">
        <v>0</v>
      </c>
      <c r="W52" s="267">
        <v>0</v>
      </c>
      <c r="X52" s="267">
        <v>6420.37</v>
      </c>
      <c r="Y52" s="267">
        <v>2000</v>
      </c>
    </row>
    <row r="53" spans="1:25" x14ac:dyDescent="0.3">
      <c r="A53" s="267" t="s">
        <v>65</v>
      </c>
      <c r="B53" s="267">
        <v>1078.04</v>
      </c>
      <c r="C53" s="267">
        <v>7000</v>
      </c>
      <c r="D53" s="267">
        <v>850.95</v>
      </c>
      <c r="E53" s="267">
        <v>0</v>
      </c>
      <c r="F53" s="267">
        <v>780.84</v>
      </c>
      <c r="G53" s="267">
        <v>0</v>
      </c>
      <c r="H53" s="267">
        <v>938.14</v>
      </c>
      <c r="I53" s="267">
        <v>0</v>
      </c>
      <c r="J53" s="267">
        <v>1276.81</v>
      </c>
      <c r="K53" s="267">
        <v>6000</v>
      </c>
      <c r="L53" s="267">
        <v>1748.33</v>
      </c>
      <c r="M53" s="267">
        <v>0</v>
      </c>
      <c r="N53" s="267">
        <v>865.8</v>
      </c>
      <c r="O53" s="267">
        <v>0</v>
      </c>
      <c r="P53" s="267">
        <v>1866.69</v>
      </c>
      <c r="Q53" s="267">
        <v>0</v>
      </c>
      <c r="R53" s="267">
        <v>1457.52</v>
      </c>
      <c r="S53" s="267">
        <v>4500</v>
      </c>
      <c r="T53" s="267">
        <v>1141.3499999999999</v>
      </c>
      <c r="U53" s="267">
        <v>0</v>
      </c>
      <c r="V53" s="267">
        <v>0</v>
      </c>
      <c r="W53" s="267">
        <v>0</v>
      </c>
      <c r="X53" s="267">
        <v>12004.47</v>
      </c>
      <c r="Y53" s="267">
        <v>17500</v>
      </c>
    </row>
    <row r="54" spans="1:25" x14ac:dyDescent="0.3">
      <c r="A54" s="267" t="s">
        <v>66</v>
      </c>
      <c r="B54" s="267">
        <v>1233.53</v>
      </c>
      <c r="C54" s="267">
        <v>7000</v>
      </c>
      <c r="D54" s="267">
        <v>867.22</v>
      </c>
      <c r="E54" s="267">
        <v>0</v>
      </c>
      <c r="F54" s="267">
        <v>730.84</v>
      </c>
      <c r="G54" s="267">
        <v>0</v>
      </c>
      <c r="H54" s="267">
        <v>1040.78</v>
      </c>
      <c r="I54" s="267">
        <v>0</v>
      </c>
      <c r="J54" s="267">
        <v>2568.52</v>
      </c>
      <c r="K54" s="267">
        <v>6000</v>
      </c>
      <c r="L54" s="267">
        <v>1952.06</v>
      </c>
      <c r="M54" s="267">
        <v>0</v>
      </c>
      <c r="N54" s="267">
        <v>1999.12</v>
      </c>
      <c r="O54" s="267">
        <v>0</v>
      </c>
      <c r="P54" s="267">
        <v>1886.02</v>
      </c>
      <c r="Q54" s="267">
        <v>0</v>
      </c>
      <c r="R54" s="267">
        <v>2908.55</v>
      </c>
      <c r="S54" s="267">
        <v>6500</v>
      </c>
      <c r="T54" s="267">
        <v>3238.2</v>
      </c>
      <c r="U54" s="267">
        <v>0</v>
      </c>
      <c r="V54" s="267">
        <v>0</v>
      </c>
      <c r="W54" s="267">
        <v>0</v>
      </c>
      <c r="X54" s="267">
        <v>18424.84</v>
      </c>
      <c r="Y54" s="267">
        <v>19500</v>
      </c>
    </row>
    <row r="55" spans="1:25" x14ac:dyDescent="0.3">
      <c r="A55" s="267" t="s">
        <v>69</v>
      </c>
      <c r="B55" s="267">
        <v>17474.38</v>
      </c>
      <c r="C55" s="267">
        <v>42500</v>
      </c>
      <c r="D55" s="267">
        <v>4678.66</v>
      </c>
      <c r="E55" s="267">
        <v>0</v>
      </c>
      <c r="F55" s="267">
        <v>6910.89</v>
      </c>
      <c r="G55" s="267">
        <v>0</v>
      </c>
      <c r="H55" s="267">
        <v>6324.28</v>
      </c>
      <c r="I55" s="267">
        <v>0</v>
      </c>
      <c r="J55" s="267">
        <v>15045.96</v>
      </c>
      <c r="K55" s="267">
        <v>52670</v>
      </c>
      <c r="L55" s="267">
        <v>13014.26</v>
      </c>
      <c r="M55" s="267">
        <v>0</v>
      </c>
      <c r="N55" s="267">
        <v>12505.53</v>
      </c>
      <c r="O55" s="267">
        <v>0</v>
      </c>
      <c r="P55" s="267">
        <v>30203.78</v>
      </c>
      <c r="Q55" s="267">
        <v>0</v>
      </c>
      <c r="R55" s="267">
        <v>17858.57</v>
      </c>
      <c r="S55" s="267">
        <v>44520</v>
      </c>
      <c r="T55" s="267">
        <v>15044.96</v>
      </c>
      <c r="U55" s="267">
        <v>0</v>
      </c>
      <c r="V55" s="267">
        <v>0</v>
      </c>
      <c r="W55" s="267">
        <v>0</v>
      </c>
      <c r="X55" s="267">
        <v>139061.26999999999</v>
      </c>
      <c r="Y55" s="267">
        <v>139690</v>
      </c>
    </row>
    <row r="56" spans="1:25" x14ac:dyDescent="0.3">
      <c r="A56" s="267" t="s">
        <v>306</v>
      </c>
    </row>
    <row r="57" spans="1:25" x14ac:dyDescent="0.3">
      <c r="A57" s="267" t="s">
        <v>71</v>
      </c>
      <c r="B57" s="267">
        <v>0</v>
      </c>
      <c r="C57" s="267">
        <v>3400</v>
      </c>
      <c r="D57" s="267">
        <v>1784.5</v>
      </c>
      <c r="E57" s="267">
        <v>0</v>
      </c>
      <c r="F57" s="267">
        <v>0</v>
      </c>
      <c r="G57" s="267">
        <v>0</v>
      </c>
      <c r="H57" s="267">
        <v>1858.33</v>
      </c>
      <c r="I57" s="267">
        <v>0</v>
      </c>
      <c r="J57" s="267">
        <v>0</v>
      </c>
      <c r="K57" s="267">
        <v>3600</v>
      </c>
      <c r="L57" s="267">
        <v>1858.33</v>
      </c>
      <c r="M57" s="267">
        <v>0</v>
      </c>
      <c r="N57" s="267">
        <v>0</v>
      </c>
      <c r="O57" s="267">
        <v>0</v>
      </c>
      <c r="P57" s="267">
        <v>1787.42</v>
      </c>
      <c r="Q57" s="267">
        <v>0</v>
      </c>
      <c r="R57" s="267">
        <v>0</v>
      </c>
      <c r="S57" s="267">
        <v>3900</v>
      </c>
      <c r="T57" s="267">
        <v>1940.67</v>
      </c>
      <c r="U57" s="267">
        <v>0</v>
      </c>
      <c r="V57" s="267">
        <v>0</v>
      </c>
      <c r="W57" s="267">
        <v>0</v>
      </c>
      <c r="X57" s="267">
        <v>9229.25</v>
      </c>
      <c r="Y57" s="267">
        <v>10900</v>
      </c>
    </row>
    <row r="58" spans="1:25" x14ac:dyDescent="0.3">
      <c r="A58" s="267" t="s">
        <v>72</v>
      </c>
      <c r="B58" s="267">
        <v>2590.9</v>
      </c>
      <c r="C58" s="267">
        <v>9000</v>
      </c>
      <c r="D58" s="267">
        <v>2702.9</v>
      </c>
      <c r="E58" s="267">
        <v>0</v>
      </c>
      <c r="F58" s="267">
        <v>2161.86</v>
      </c>
      <c r="G58" s="267">
        <v>0</v>
      </c>
      <c r="H58" s="267">
        <v>2203</v>
      </c>
      <c r="I58" s="267">
        <v>0</v>
      </c>
      <c r="J58" s="267">
        <v>2843.58</v>
      </c>
      <c r="K58" s="267">
        <v>10000</v>
      </c>
      <c r="L58" s="267">
        <v>2968.31</v>
      </c>
      <c r="M58" s="267">
        <v>0</v>
      </c>
      <c r="N58" s="267">
        <v>2481.64</v>
      </c>
      <c r="O58" s="267">
        <v>0</v>
      </c>
      <c r="P58" s="267">
        <v>2834.95</v>
      </c>
      <c r="Q58" s="267">
        <v>0</v>
      </c>
      <c r="R58" s="267">
        <v>2881.36</v>
      </c>
      <c r="S58" s="267">
        <v>10000</v>
      </c>
      <c r="T58" s="267">
        <v>1432.35</v>
      </c>
      <c r="U58" s="267">
        <v>0</v>
      </c>
      <c r="V58" s="267">
        <v>0</v>
      </c>
      <c r="W58" s="267">
        <v>0</v>
      </c>
      <c r="X58" s="267">
        <v>25100.85</v>
      </c>
      <c r="Y58" s="267">
        <v>29000</v>
      </c>
    </row>
    <row r="59" spans="1:25" x14ac:dyDescent="0.3">
      <c r="A59" s="267" t="s">
        <v>73</v>
      </c>
      <c r="B59" s="267">
        <v>0</v>
      </c>
      <c r="C59" s="267">
        <v>12000</v>
      </c>
      <c r="D59" s="267">
        <v>0</v>
      </c>
      <c r="E59" s="267">
        <v>0</v>
      </c>
      <c r="F59" s="267">
        <v>0</v>
      </c>
      <c r="G59" s="267">
        <v>0</v>
      </c>
      <c r="H59" s="267">
        <v>0</v>
      </c>
      <c r="I59" s="267">
        <v>0</v>
      </c>
      <c r="J59" s="267">
        <v>0</v>
      </c>
      <c r="K59" s="267">
        <v>12000</v>
      </c>
      <c r="L59" s="267">
        <v>0</v>
      </c>
      <c r="M59" s="267">
        <v>0</v>
      </c>
      <c r="N59" s="267">
        <v>0</v>
      </c>
      <c r="O59" s="267">
        <v>0</v>
      </c>
      <c r="P59" s="267">
        <v>0</v>
      </c>
      <c r="Q59" s="267">
        <v>0</v>
      </c>
      <c r="R59" s="267">
        <v>0</v>
      </c>
      <c r="S59" s="267">
        <v>12000</v>
      </c>
      <c r="T59" s="267">
        <v>0</v>
      </c>
      <c r="U59" s="267">
        <v>0</v>
      </c>
      <c r="V59" s="267">
        <v>0</v>
      </c>
      <c r="W59" s="267">
        <v>0</v>
      </c>
      <c r="X59" s="267">
        <v>0</v>
      </c>
      <c r="Y59" s="267">
        <v>36000</v>
      </c>
    </row>
    <row r="60" spans="1:25" x14ac:dyDescent="0.3">
      <c r="A60" s="267" t="s">
        <v>74</v>
      </c>
      <c r="B60" s="267">
        <v>20.64</v>
      </c>
      <c r="C60" s="267">
        <v>3500</v>
      </c>
      <c r="D60" s="267">
        <v>389.35</v>
      </c>
      <c r="E60" s="267">
        <v>0</v>
      </c>
      <c r="F60" s="267">
        <v>372.94</v>
      </c>
      <c r="G60" s="267">
        <v>0</v>
      </c>
      <c r="H60" s="267">
        <v>738.29</v>
      </c>
      <c r="I60" s="267">
        <v>0</v>
      </c>
      <c r="J60" s="267">
        <v>12.9</v>
      </c>
      <c r="K60" s="267">
        <v>3000</v>
      </c>
      <c r="L60" s="267">
        <v>390.32</v>
      </c>
      <c r="M60" s="267">
        <v>0</v>
      </c>
      <c r="N60" s="267">
        <v>588.1</v>
      </c>
      <c r="O60" s="267">
        <v>0</v>
      </c>
      <c r="P60" s="267">
        <v>998.63</v>
      </c>
      <c r="Q60" s="267">
        <v>0</v>
      </c>
      <c r="R60" s="267">
        <v>24.51</v>
      </c>
      <c r="S60" s="267">
        <v>1500</v>
      </c>
      <c r="T60" s="267">
        <v>430.64</v>
      </c>
      <c r="U60" s="267">
        <v>0</v>
      </c>
      <c r="V60" s="267">
        <v>575.20000000000005</v>
      </c>
      <c r="W60" s="267">
        <v>0</v>
      </c>
      <c r="X60" s="267">
        <v>4541.5200000000004</v>
      </c>
      <c r="Y60" s="267">
        <v>8000</v>
      </c>
    </row>
    <row r="61" spans="1:25" x14ac:dyDescent="0.3">
      <c r="A61" s="267" t="s">
        <v>305</v>
      </c>
      <c r="B61" s="267">
        <v>0</v>
      </c>
      <c r="D61" s="267">
        <v>0</v>
      </c>
      <c r="F61" s="267">
        <v>0</v>
      </c>
      <c r="H61" s="267">
        <v>0</v>
      </c>
      <c r="J61" s="267">
        <v>0</v>
      </c>
      <c r="L61" s="267">
        <v>0</v>
      </c>
      <c r="N61" s="267">
        <v>0</v>
      </c>
      <c r="P61" s="267">
        <v>0</v>
      </c>
      <c r="R61" s="267">
        <v>0</v>
      </c>
      <c r="T61" s="267">
        <v>-99.01</v>
      </c>
      <c r="V61" s="267">
        <v>0</v>
      </c>
      <c r="W61" s="267">
        <v>0</v>
      </c>
      <c r="X61" s="267">
        <v>-99.01</v>
      </c>
      <c r="Y61" s="267">
        <v>0</v>
      </c>
    </row>
    <row r="62" spans="1:25" x14ac:dyDescent="0.3">
      <c r="A62" s="267" t="s">
        <v>276</v>
      </c>
      <c r="B62" s="267">
        <v>2611.54</v>
      </c>
      <c r="C62" s="267">
        <v>27900</v>
      </c>
      <c r="D62" s="267">
        <v>4876.75</v>
      </c>
      <c r="E62" s="267">
        <v>0</v>
      </c>
      <c r="F62" s="267">
        <v>2534.8000000000002</v>
      </c>
      <c r="G62" s="267">
        <v>0</v>
      </c>
      <c r="H62" s="267">
        <v>4799.62</v>
      </c>
      <c r="I62" s="267">
        <v>0</v>
      </c>
      <c r="J62" s="267">
        <v>2856.48</v>
      </c>
      <c r="K62" s="267">
        <v>28600</v>
      </c>
      <c r="L62" s="267">
        <v>5216.96</v>
      </c>
      <c r="M62" s="267">
        <v>0</v>
      </c>
      <c r="N62" s="267">
        <v>3069.74</v>
      </c>
      <c r="O62" s="267">
        <v>0</v>
      </c>
      <c r="P62" s="267">
        <v>5621</v>
      </c>
      <c r="Q62" s="267">
        <v>0</v>
      </c>
      <c r="R62" s="267">
        <v>2905.87</v>
      </c>
      <c r="S62" s="267">
        <v>27400</v>
      </c>
      <c r="T62" s="267">
        <v>3704.65</v>
      </c>
      <c r="U62" s="267">
        <v>0</v>
      </c>
      <c r="V62" s="267">
        <v>575.20000000000005</v>
      </c>
      <c r="W62" s="267">
        <v>0</v>
      </c>
      <c r="X62" s="267">
        <v>38772.61</v>
      </c>
      <c r="Y62" s="267">
        <v>83900</v>
      </c>
    </row>
    <row r="63" spans="1:25" x14ac:dyDescent="0.3">
      <c r="A63" s="267" t="s">
        <v>85</v>
      </c>
      <c r="B63" s="267">
        <v>60967.81</v>
      </c>
      <c r="C63" s="267">
        <v>201650</v>
      </c>
      <c r="D63" s="267">
        <v>41961.65</v>
      </c>
      <c r="E63" s="267">
        <v>0</v>
      </c>
      <c r="F63" s="267">
        <v>40147.79</v>
      </c>
      <c r="G63" s="267">
        <v>0</v>
      </c>
      <c r="H63" s="267">
        <v>42996.02</v>
      </c>
      <c r="I63" s="267">
        <v>0</v>
      </c>
      <c r="J63" s="267">
        <v>56687.65</v>
      </c>
      <c r="K63" s="267">
        <v>225110</v>
      </c>
      <c r="L63" s="267">
        <v>68560.320000000007</v>
      </c>
      <c r="M63" s="267">
        <v>0</v>
      </c>
      <c r="N63" s="267">
        <v>49329.63</v>
      </c>
      <c r="O63" s="267">
        <v>0</v>
      </c>
      <c r="P63" s="267">
        <v>68785.66</v>
      </c>
      <c r="Q63" s="267">
        <v>0</v>
      </c>
      <c r="R63" s="267">
        <v>55743.32</v>
      </c>
      <c r="S63" s="267">
        <v>222870</v>
      </c>
      <c r="T63" s="267">
        <v>67405.759999999995</v>
      </c>
      <c r="U63" s="267">
        <v>0</v>
      </c>
      <c r="V63" s="267">
        <v>575.20000000000005</v>
      </c>
      <c r="W63" s="267">
        <v>0</v>
      </c>
      <c r="X63" s="267">
        <v>553160.81000000006</v>
      </c>
      <c r="Y63" s="267">
        <v>649630</v>
      </c>
    </row>
    <row r="64" spans="1:25" x14ac:dyDescent="0.3">
      <c r="A64" s="267" t="s">
        <v>86</v>
      </c>
      <c r="B64" s="267">
        <v>2965.95</v>
      </c>
      <c r="C64" s="267">
        <v>19450</v>
      </c>
      <c r="D64" s="267">
        <v>13181.47</v>
      </c>
      <c r="E64" s="267">
        <v>0</v>
      </c>
      <c r="F64" s="267">
        <v>10463.48</v>
      </c>
      <c r="G64" s="267">
        <v>0</v>
      </c>
      <c r="H64" s="267">
        <v>10862.65</v>
      </c>
      <c r="I64" s="267">
        <v>0</v>
      </c>
      <c r="J64" s="267">
        <v>16676.490000000002</v>
      </c>
      <c r="K64" s="267">
        <v>21040</v>
      </c>
      <c r="L64" s="267">
        <v>-6133.54</v>
      </c>
      <c r="M64" s="267">
        <v>0</v>
      </c>
      <c r="N64" s="267">
        <v>8503.56</v>
      </c>
      <c r="O64" s="267">
        <v>0</v>
      </c>
      <c r="P64" s="267">
        <v>-10735.41</v>
      </c>
      <c r="Q64" s="267">
        <v>0</v>
      </c>
      <c r="R64" s="267">
        <v>22515.82</v>
      </c>
      <c r="S64" s="267">
        <v>47980</v>
      </c>
      <c r="T64" s="267">
        <v>717.71</v>
      </c>
      <c r="U64" s="267">
        <v>0</v>
      </c>
      <c r="V64" s="267">
        <v>20120.740000000002</v>
      </c>
      <c r="W64" s="267">
        <v>0</v>
      </c>
      <c r="X64" s="267">
        <v>89138.92</v>
      </c>
      <c r="Y64" s="267">
        <v>88470</v>
      </c>
    </row>
    <row r="65" spans="1:25" x14ac:dyDescent="0.3">
      <c r="A65" s="267" t="s">
        <v>87</v>
      </c>
      <c r="B65" s="267">
        <v>-7500</v>
      </c>
      <c r="C65" s="267">
        <v>-30000</v>
      </c>
      <c r="D65" s="267">
        <v>-7500</v>
      </c>
      <c r="E65" s="267">
        <v>0</v>
      </c>
      <c r="F65" s="267">
        <v>-7500</v>
      </c>
      <c r="G65" s="267">
        <v>0</v>
      </c>
      <c r="H65" s="267">
        <v>-7500</v>
      </c>
      <c r="I65" s="267">
        <v>0</v>
      </c>
      <c r="J65" s="267">
        <v>-7500</v>
      </c>
      <c r="K65" s="267">
        <v>-30000</v>
      </c>
      <c r="L65" s="267">
        <v>-7500</v>
      </c>
      <c r="M65" s="267">
        <v>0</v>
      </c>
      <c r="N65" s="267">
        <v>-7500</v>
      </c>
      <c r="O65" s="267">
        <v>0</v>
      </c>
      <c r="P65" s="267">
        <v>-17500</v>
      </c>
      <c r="Q65" s="267">
        <v>0</v>
      </c>
      <c r="R65" s="267">
        <v>-12500.01</v>
      </c>
      <c r="S65" s="267">
        <v>-50000</v>
      </c>
      <c r="T65" s="267">
        <v>-12500.01</v>
      </c>
      <c r="U65" s="267">
        <v>0</v>
      </c>
      <c r="V65" s="267">
        <v>0</v>
      </c>
      <c r="W65" s="267">
        <v>0</v>
      </c>
      <c r="X65" s="267">
        <v>-95000.02</v>
      </c>
      <c r="Y65" s="267">
        <v>-110000</v>
      </c>
    </row>
    <row r="66" spans="1:25" x14ac:dyDescent="0.3">
      <c r="A66" s="267" t="s">
        <v>88</v>
      </c>
      <c r="B66" s="267">
        <v>-4534.05</v>
      </c>
      <c r="C66" s="267">
        <v>-10550</v>
      </c>
      <c r="D66" s="267">
        <v>5681.47</v>
      </c>
      <c r="E66" s="267">
        <v>0</v>
      </c>
      <c r="F66" s="267">
        <v>2963.48</v>
      </c>
      <c r="G66" s="267">
        <v>0</v>
      </c>
      <c r="H66" s="267">
        <v>3362.65</v>
      </c>
      <c r="I66" s="267">
        <v>0</v>
      </c>
      <c r="J66" s="267">
        <v>9176.49</v>
      </c>
      <c r="K66" s="267">
        <v>-8960</v>
      </c>
      <c r="L66" s="267">
        <v>-13633.54</v>
      </c>
      <c r="M66" s="267">
        <v>0</v>
      </c>
      <c r="N66" s="267">
        <v>1003.56</v>
      </c>
      <c r="O66" s="267">
        <v>0</v>
      </c>
      <c r="P66" s="267">
        <v>-28235.41</v>
      </c>
      <c r="Q66" s="267">
        <v>0</v>
      </c>
      <c r="R66" s="267">
        <v>10015.81</v>
      </c>
      <c r="S66" s="267">
        <v>-2020</v>
      </c>
      <c r="T66" s="267">
        <v>-11782.3</v>
      </c>
      <c r="U66" s="267">
        <v>0</v>
      </c>
      <c r="V66" s="267">
        <v>20120.740000000002</v>
      </c>
      <c r="W66" s="267">
        <v>0</v>
      </c>
      <c r="X66" s="267">
        <v>-5861.1</v>
      </c>
      <c r="Y66" s="267">
        <v>-21530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90"/>
  <sheetViews>
    <sheetView showGridLines="0" showRowColHeaders="0" tabSelected="1" zoomScale="159" zoomScaleNormal="100" workbookViewId="0">
      <pane xSplit="7" ySplit="3" topLeftCell="H4" activePane="bottomRight" state="frozen"/>
      <selection pane="topRight" activeCell="H1" sqref="H1"/>
      <selection pane="bottomLeft" activeCell="A4" sqref="A4"/>
      <selection pane="bottomRight" activeCell="H4" sqref="H4"/>
    </sheetView>
  </sheetViews>
  <sheetFormatPr defaultColWidth="9.08984375" defaultRowHeight="13" outlineLevelRow="1" x14ac:dyDescent="0.3"/>
  <cols>
    <col min="1" max="1" width="3.36328125" style="279" customWidth="1"/>
    <col min="2" max="4" width="1.08984375" style="182" customWidth="1"/>
    <col min="5" max="5" width="1.90625" style="182" customWidth="1"/>
    <col min="6" max="6" width="34.453125" style="182" customWidth="1"/>
    <col min="7" max="7" width="10.54296875" style="280" hidden="1" customWidth="1"/>
    <col min="8" max="11" width="10.54296875" style="280" customWidth="1"/>
    <col min="12" max="12" width="4.54296875" style="280" customWidth="1"/>
    <col min="13" max="13" width="10.54296875" style="280" hidden="1" customWidth="1"/>
    <col min="14" max="14" width="10.54296875" style="280" customWidth="1"/>
    <col min="15" max="16" width="11.36328125" style="280" customWidth="1"/>
    <col min="17" max="17" width="10.54296875" style="280" customWidth="1"/>
    <col min="18" max="16384" width="9.08984375" style="279"/>
  </cols>
  <sheetData>
    <row r="2" spans="2:17" ht="14.4" customHeight="1" thickBot="1" x14ac:dyDescent="0.35">
      <c r="B2" s="427" t="s">
        <v>193</v>
      </c>
      <c r="C2" s="428"/>
      <c r="D2" s="428"/>
      <c r="E2" s="428"/>
      <c r="F2" s="429"/>
      <c r="G2" s="418" t="s">
        <v>259</v>
      </c>
      <c r="H2" s="418"/>
      <c r="I2" s="418"/>
      <c r="J2" s="418"/>
      <c r="K2" s="419"/>
      <c r="L2" s="260"/>
      <c r="M2" s="420" t="s">
        <v>258</v>
      </c>
      <c r="N2" s="418"/>
      <c r="O2" s="418"/>
      <c r="P2" s="418"/>
      <c r="Q2" s="419"/>
    </row>
    <row r="3" spans="2:17" s="282" customFormat="1" ht="14.4" customHeight="1" thickBot="1" x14ac:dyDescent="0.35">
      <c r="B3" s="424" t="s">
        <v>353</v>
      </c>
      <c r="C3" s="425"/>
      <c r="D3" s="425"/>
      <c r="E3" s="425"/>
      <c r="F3" s="426"/>
      <c r="G3" s="211" t="s">
        <v>146</v>
      </c>
      <c r="H3" s="211" t="s">
        <v>148</v>
      </c>
      <c r="I3" s="236" t="s">
        <v>154</v>
      </c>
      <c r="J3" s="236" t="s">
        <v>268</v>
      </c>
      <c r="K3" s="283" t="s">
        <v>322</v>
      </c>
      <c r="L3" s="183"/>
      <c r="M3" s="212" t="s">
        <v>146</v>
      </c>
      <c r="N3" s="212" t="s">
        <v>148</v>
      </c>
      <c r="O3" s="236" t="s">
        <v>154</v>
      </c>
      <c r="P3" s="236" t="s">
        <v>268</v>
      </c>
      <c r="Q3" s="283" t="s">
        <v>322</v>
      </c>
    </row>
    <row r="4" spans="2:17" s="282" customFormat="1" ht="13.5" thickTop="1" x14ac:dyDescent="0.3">
      <c r="B4" s="248"/>
      <c r="C4" s="209"/>
      <c r="D4" s="209"/>
      <c r="E4" s="209"/>
      <c r="F4" s="249"/>
      <c r="G4" s="207"/>
      <c r="H4" s="207"/>
      <c r="I4" s="207"/>
      <c r="J4" s="207"/>
      <c r="K4" s="202" t="s">
        <v>257</v>
      </c>
      <c r="L4" s="183"/>
      <c r="M4" s="208"/>
      <c r="N4" s="245"/>
      <c r="O4" s="207"/>
      <c r="P4" s="207"/>
      <c r="Q4" s="202" t="s">
        <v>257</v>
      </c>
    </row>
    <row r="5" spans="2:17" s="282" customFormat="1" x14ac:dyDescent="0.3">
      <c r="B5" s="421" t="s">
        <v>256</v>
      </c>
      <c r="C5" s="422"/>
      <c r="D5" s="422"/>
      <c r="E5" s="422"/>
      <c r="F5" s="423"/>
      <c r="G5" s="205">
        <v>201939</v>
      </c>
      <c r="H5" s="205" t="s">
        <v>255</v>
      </c>
      <c r="I5" s="205" t="s">
        <v>254</v>
      </c>
      <c r="J5" s="205">
        <f>I85</f>
        <v>275069.01</v>
      </c>
      <c r="K5" s="204">
        <f>J85</f>
        <v>267049.01</v>
      </c>
      <c r="L5" s="183"/>
      <c r="M5" s="206">
        <v>322231</v>
      </c>
      <c r="N5" s="206" t="s">
        <v>253</v>
      </c>
      <c r="O5" s="205" t="s">
        <v>252</v>
      </c>
      <c r="P5" s="205">
        <f>O85</f>
        <v>-76645.88</v>
      </c>
      <c r="Q5" s="204">
        <f>P85</f>
        <v>-38564.360000000008</v>
      </c>
    </row>
    <row r="6" spans="2:17" s="184" customFormat="1" hidden="1" outlineLevel="1" x14ac:dyDescent="0.3">
      <c r="B6" s="250"/>
      <c r="C6" s="194" t="s">
        <v>392</v>
      </c>
      <c r="D6" s="194"/>
      <c r="E6" s="194"/>
      <c r="F6" s="251"/>
      <c r="G6" s="199"/>
      <c r="H6" s="199"/>
      <c r="I6" s="199"/>
      <c r="J6" s="199"/>
      <c r="K6" s="202"/>
      <c r="L6" s="183"/>
      <c r="M6" s="200"/>
      <c r="N6" s="200"/>
      <c r="O6" s="199"/>
      <c r="P6" s="199"/>
      <c r="Q6" s="202"/>
    </row>
    <row r="7" spans="2:17" hidden="1" outlineLevel="1" x14ac:dyDescent="0.3">
      <c r="B7" s="252"/>
      <c r="C7" s="190"/>
      <c r="D7" s="190" t="s">
        <v>9</v>
      </c>
      <c r="E7" s="190"/>
      <c r="F7" s="253"/>
      <c r="G7" s="196">
        <v>0</v>
      </c>
      <c r="H7" s="196">
        <v>0</v>
      </c>
      <c r="I7" s="196">
        <v>0</v>
      </c>
      <c r="J7" s="196"/>
      <c r="K7" s="195">
        <v>0</v>
      </c>
      <c r="L7" s="183"/>
      <c r="M7" s="197">
        <v>15766.03</v>
      </c>
      <c r="N7" s="197">
        <v>14335.66</v>
      </c>
      <c r="O7" s="196">
        <v>13740</v>
      </c>
      <c r="P7" s="196">
        <f>8720+4*1089</f>
        <v>13076</v>
      </c>
      <c r="Q7" s="195">
        <v>15000</v>
      </c>
    </row>
    <row r="8" spans="2:17" hidden="1" outlineLevel="1" x14ac:dyDescent="0.3">
      <c r="B8" s="252"/>
      <c r="C8" s="190"/>
      <c r="D8" s="190" t="s">
        <v>16</v>
      </c>
      <c r="E8" s="190"/>
      <c r="F8" s="253"/>
      <c r="G8" s="196">
        <v>0</v>
      </c>
      <c r="H8" s="196">
        <v>0</v>
      </c>
      <c r="I8" s="196">
        <v>0</v>
      </c>
      <c r="J8" s="196"/>
      <c r="K8" s="195">
        <v>0</v>
      </c>
      <c r="L8" s="183"/>
      <c r="M8" s="197">
        <v>68040</v>
      </c>
      <c r="N8" s="197">
        <v>67680</v>
      </c>
      <c r="O8" s="196">
        <v>67728</v>
      </c>
      <c r="P8" s="196">
        <f>45263+4*5670</f>
        <v>67943</v>
      </c>
      <c r="Q8" s="195">
        <v>95000</v>
      </c>
    </row>
    <row r="9" spans="2:17" hidden="1" outlineLevel="1" x14ac:dyDescent="0.3">
      <c r="B9" s="252"/>
      <c r="C9" s="190"/>
      <c r="D9" s="190" t="s">
        <v>20</v>
      </c>
      <c r="E9" s="190"/>
      <c r="F9" s="253"/>
      <c r="G9" s="196">
        <v>0</v>
      </c>
      <c r="H9" s="196">
        <v>0</v>
      </c>
      <c r="I9" s="196">
        <v>0</v>
      </c>
      <c r="J9" s="196"/>
      <c r="K9" s="195">
        <v>0</v>
      </c>
      <c r="L9" s="183"/>
      <c r="M9" s="197">
        <v>0</v>
      </c>
      <c r="N9" s="197">
        <v>5457.41</v>
      </c>
      <c r="O9" s="196">
        <v>26497</v>
      </c>
      <c r="P9" s="284">
        <f>32380</f>
        <v>32380</v>
      </c>
      <c r="Q9" s="195">
        <v>0</v>
      </c>
    </row>
    <row r="10" spans="2:17" hidden="1" outlineLevel="1" x14ac:dyDescent="0.3">
      <c r="B10" s="252"/>
      <c r="C10" s="190"/>
      <c r="D10" s="190" t="s">
        <v>30</v>
      </c>
      <c r="E10" s="190"/>
      <c r="F10" s="253"/>
      <c r="G10" s="196">
        <v>0</v>
      </c>
      <c r="H10" s="196">
        <v>0</v>
      </c>
      <c r="I10" s="196">
        <v>0</v>
      </c>
      <c r="J10" s="196"/>
      <c r="K10" s="195">
        <v>0</v>
      </c>
      <c r="L10" s="183"/>
      <c r="M10" s="197">
        <v>818.37</v>
      </c>
      <c r="N10" s="197">
        <v>587.65</v>
      </c>
      <c r="O10" s="196">
        <v>207</v>
      </c>
      <c r="P10" s="196">
        <f>138+4*15.88</f>
        <v>201.52</v>
      </c>
      <c r="Q10" s="195">
        <v>205</v>
      </c>
    </row>
    <row r="11" spans="2:17" hidden="1" outlineLevel="1" x14ac:dyDescent="0.3">
      <c r="B11" s="252"/>
      <c r="C11" s="190"/>
      <c r="D11" s="190" t="s">
        <v>354</v>
      </c>
      <c r="E11" s="190"/>
      <c r="F11" s="253"/>
      <c r="G11" s="196"/>
      <c r="H11" s="196"/>
      <c r="I11" s="196"/>
      <c r="J11" s="384">
        <v>15000</v>
      </c>
      <c r="K11" s="385">
        <v>85000</v>
      </c>
      <c r="L11" s="183"/>
      <c r="M11" s="197"/>
      <c r="N11" s="197">
        <v>250000</v>
      </c>
      <c r="O11" s="196"/>
      <c r="P11" s="261">
        <f>-S10</f>
        <v>0</v>
      </c>
      <c r="Q11" s="285">
        <v>100000</v>
      </c>
    </row>
    <row r="12" spans="2:17" hidden="1" outlineLevel="1" x14ac:dyDescent="0.3">
      <c r="B12" s="252"/>
      <c r="C12" s="190"/>
      <c r="D12" s="190" t="s">
        <v>249</v>
      </c>
      <c r="E12" s="190"/>
      <c r="F12" s="253"/>
      <c r="G12" s="196">
        <v>50004</v>
      </c>
      <c r="H12" s="196">
        <v>30000</v>
      </c>
      <c r="I12" s="196">
        <v>40000</v>
      </c>
      <c r="J12" s="284">
        <v>40000</v>
      </c>
      <c r="K12" s="285">
        <v>40000</v>
      </c>
      <c r="L12" s="183"/>
      <c r="M12" s="197">
        <v>0</v>
      </c>
      <c r="N12" s="197">
        <v>0</v>
      </c>
      <c r="O12" s="196">
        <v>0</v>
      </c>
      <c r="P12" s="196">
        <v>0</v>
      </c>
      <c r="Q12" s="195">
        <v>0</v>
      </c>
    </row>
    <row r="13" spans="2:17" s="184" customFormat="1" collapsed="1" x14ac:dyDescent="0.3">
      <c r="B13" s="250"/>
      <c r="C13" s="194" t="s">
        <v>248</v>
      </c>
      <c r="D13" s="238"/>
      <c r="E13" s="239"/>
      <c r="F13" s="254"/>
      <c r="G13" s="241">
        <f>ROUND(SUM(G7:G12),5)</f>
        <v>50004</v>
      </c>
      <c r="H13" s="241">
        <f>ROUND(SUM(H7:H12),5)</f>
        <v>30000</v>
      </c>
      <c r="I13" s="241">
        <f>ROUND(SUM(I7:I12),5)</f>
        <v>40000</v>
      </c>
      <c r="J13" s="241">
        <f>ROUND(SUM(J7:J12),5)</f>
        <v>55000</v>
      </c>
      <c r="K13" s="242">
        <f>ROUND(SUM(K7:K12),5)</f>
        <v>125000</v>
      </c>
      <c r="L13" s="183"/>
      <c r="M13" s="240">
        <f>ROUND(SUM(M7:M12),5)</f>
        <v>84624.4</v>
      </c>
      <c r="N13" s="240">
        <f>ROUND(SUM(N7:N12),5)</f>
        <v>338060.72</v>
      </c>
      <c r="O13" s="241">
        <f>ROUND(SUM(O7:O12),5)</f>
        <v>108172</v>
      </c>
      <c r="P13" s="241">
        <f>ROUND(SUM(P7:P12),5)</f>
        <v>113600.52</v>
      </c>
      <c r="Q13" s="242">
        <f>ROUND(SUM(Q7:Q12),5)</f>
        <v>210205</v>
      </c>
    </row>
    <row r="14" spans="2:17" x14ac:dyDescent="0.3">
      <c r="B14" s="252"/>
      <c r="C14" s="194" t="s">
        <v>393</v>
      </c>
      <c r="D14" s="190"/>
      <c r="F14" s="255"/>
      <c r="G14" s="196"/>
      <c r="H14" s="196"/>
      <c r="I14" s="196"/>
      <c r="J14" s="196"/>
      <c r="K14" s="195"/>
      <c r="L14" s="183"/>
      <c r="M14" s="197"/>
      <c r="N14" s="197"/>
      <c r="O14" s="196"/>
      <c r="P14" s="196"/>
      <c r="Q14" s="195"/>
    </row>
    <row r="15" spans="2:17" hidden="1" x14ac:dyDescent="0.3">
      <c r="B15" s="252"/>
      <c r="C15" s="190"/>
      <c r="D15" s="190" t="s">
        <v>39</v>
      </c>
      <c r="E15" s="190"/>
      <c r="F15" s="255"/>
      <c r="G15" s="196">
        <v>0</v>
      </c>
      <c r="H15" s="196">
        <v>0</v>
      </c>
      <c r="I15" s="196">
        <v>0</v>
      </c>
      <c r="J15" s="196"/>
      <c r="K15" s="195">
        <v>0</v>
      </c>
      <c r="L15" s="183"/>
      <c r="M15" s="197">
        <v>0</v>
      </c>
      <c r="N15" s="197">
        <v>2909.98</v>
      </c>
      <c r="O15" s="196">
        <v>0</v>
      </c>
      <c r="P15" s="196">
        <v>0</v>
      </c>
      <c r="Q15" s="195">
        <v>0</v>
      </c>
    </row>
    <row r="16" spans="2:17" x14ac:dyDescent="0.3">
      <c r="B16" s="252"/>
      <c r="C16" s="190"/>
      <c r="D16" s="190" t="s">
        <v>40</v>
      </c>
      <c r="E16" s="190"/>
      <c r="F16" s="255"/>
      <c r="G16" s="196">
        <v>0</v>
      </c>
      <c r="H16" s="196">
        <v>0</v>
      </c>
      <c r="I16" s="196">
        <v>0</v>
      </c>
      <c r="J16" s="196"/>
      <c r="K16" s="195">
        <v>7000</v>
      </c>
      <c r="L16" s="183"/>
      <c r="M16" s="197">
        <v>2942.16</v>
      </c>
      <c r="N16" s="197">
        <f>5293.55+2910</f>
        <v>8203.5499999999993</v>
      </c>
      <c r="O16" s="196">
        <v>16152</v>
      </c>
      <c r="P16" s="196">
        <f>10088+4*959</f>
        <v>13924</v>
      </c>
      <c r="Q16" s="195">
        <v>16000</v>
      </c>
    </row>
    <row r="17" spans="2:17" collapsed="1" x14ac:dyDescent="0.3">
      <c r="B17" s="252"/>
      <c r="C17" s="190"/>
      <c r="D17" s="190" t="s">
        <v>246</v>
      </c>
      <c r="E17" s="190"/>
      <c r="F17" s="281"/>
      <c r="G17" s="196">
        <v>0</v>
      </c>
      <c r="H17" s="196">
        <v>0</v>
      </c>
      <c r="I17" s="196">
        <v>0</v>
      </c>
      <c r="J17" s="196"/>
      <c r="K17" s="195">
        <v>2000</v>
      </c>
      <c r="L17" s="183"/>
      <c r="M17" s="197">
        <v>28020.6</v>
      </c>
      <c r="N17" s="197">
        <v>29487.94</v>
      </c>
      <c r="O17" s="196">
        <v>36215</v>
      </c>
      <c r="P17" s="196">
        <f>33304+4*752</f>
        <v>36312</v>
      </c>
      <c r="Q17" s="195">
        <v>38000</v>
      </c>
    </row>
    <row r="18" spans="2:17" x14ac:dyDescent="0.3">
      <c r="B18" s="252"/>
      <c r="C18" s="190"/>
      <c r="D18" s="194" t="s">
        <v>77</v>
      </c>
      <c r="E18" s="190"/>
      <c r="F18" s="253"/>
      <c r="G18" s="196"/>
      <c r="H18" s="196"/>
      <c r="I18" s="196"/>
      <c r="J18" s="196"/>
      <c r="K18" s="195"/>
      <c r="L18" s="183"/>
      <c r="M18" s="197"/>
      <c r="N18" s="197"/>
      <c r="O18" s="196"/>
      <c r="P18" s="196"/>
      <c r="Q18" s="195"/>
    </row>
    <row r="19" spans="2:17" hidden="1" outlineLevel="1" x14ac:dyDescent="0.3">
      <c r="B19" s="252"/>
      <c r="C19" s="190"/>
      <c r="D19" s="190"/>
      <c r="E19" s="190" t="s">
        <v>78</v>
      </c>
      <c r="F19" s="255"/>
      <c r="G19" s="196"/>
      <c r="H19" s="196"/>
      <c r="I19" s="196"/>
      <c r="J19" s="196"/>
      <c r="K19" s="195"/>
      <c r="L19" s="183"/>
      <c r="M19" s="197"/>
      <c r="N19" s="197"/>
      <c r="O19" s="196"/>
      <c r="P19" s="196"/>
      <c r="Q19" s="195"/>
    </row>
    <row r="20" spans="2:17" hidden="1" outlineLevel="1" x14ac:dyDescent="0.3">
      <c r="B20" s="252"/>
      <c r="C20" s="190"/>
      <c r="D20" s="190"/>
      <c r="E20" s="190"/>
      <c r="F20" s="255" t="s">
        <v>176</v>
      </c>
      <c r="G20" s="196">
        <v>0</v>
      </c>
      <c r="H20" s="196">
        <v>2661.19</v>
      </c>
      <c r="I20" s="196">
        <v>253.99</v>
      </c>
      <c r="J20" s="196"/>
      <c r="K20" s="195">
        <v>3000</v>
      </c>
      <c r="L20" s="183"/>
      <c r="M20" s="197">
        <v>0</v>
      </c>
      <c r="N20" s="197">
        <v>0</v>
      </c>
      <c r="O20" s="196">
        <v>0</v>
      </c>
      <c r="P20" s="196">
        <v>0</v>
      </c>
      <c r="Q20" s="195">
        <v>0</v>
      </c>
    </row>
    <row r="21" spans="2:17" hidden="1" outlineLevel="1" x14ac:dyDescent="0.3">
      <c r="B21" s="252"/>
      <c r="C21" s="190"/>
      <c r="D21" s="190"/>
      <c r="E21" s="190"/>
      <c r="F21" s="255" t="s">
        <v>245</v>
      </c>
      <c r="G21" s="196">
        <v>0</v>
      </c>
      <c r="H21" s="196">
        <v>0</v>
      </c>
      <c r="I21" s="196">
        <v>0</v>
      </c>
      <c r="J21" s="196"/>
      <c r="K21" s="195">
        <v>0</v>
      </c>
      <c r="L21" s="183"/>
      <c r="M21" s="197">
        <v>0</v>
      </c>
      <c r="N21" s="197">
        <v>0</v>
      </c>
      <c r="O21" s="196">
        <v>0</v>
      </c>
      <c r="P21" s="196">
        <v>0</v>
      </c>
      <c r="Q21" s="195">
        <v>0</v>
      </c>
    </row>
    <row r="22" spans="2:17" collapsed="1" x14ac:dyDescent="0.3">
      <c r="B22" s="252"/>
      <c r="C22" s="190"/>
      <c r="D22" s="190"/>
      <c r="E22" s="190" t="s">
        <v>177</v>
      </c>
      <c r="F22" s="255"/>
      <c r="G22" s="196">
        <f>ROUND(SUM(G19:G21),5)</f>
        <v>0</v>
      </c>
      <c r="H22" s="196">
        <f>ROUND(SUM(H19:H21),5)</f>
        <v>2661.19</v>
      </c>
      <c r="I22" s="196">
        <f>ROUND(SUM(I19:I21),5)</f>
        <v>253.99</v>
      </c>
      <c r="J22" s="386">
        <v>3500</v>
      </c>
      <c r="K22" s="195">
        <f>ROUND(SUM(K19:K21),5)</f>
        <v>3000</v>
      </c>
      <c r="L22" s="183"/>
      <c r="M22" s="197">
        <f>ROUND(SUM(M19:M21),5)</f>
        <v>0</v>
      </c>
      <c r="N22" s="197">
        <f>ROUND(SUM(N19:N21),5)</f>
        <v>0</v>
      </c>
      <c r="O22" s="196">
        <f>ROUND(SUM(O19:O21),5)</f>
        <v>0</v>
      </c>
      <c r="P22" s="196">
        <f>ROUND(SUM(P19:P21),5)</f>
        <v>0</v>
      </c>
      <c r="Q22" s="195"/>
    </row>
    <row r="23" spans="2:17" hidden="1" outlineLevel="1" x14ac:dyDescent="0.3">
      <c r="B23" s="252"/>
      <c r="C23" s="190"/>
      <c r="D23" s="190"/>
      <c r="E23" s="190" t="s">
        <v>80</v>
      </c>
      <c r="F23" s="255"/>
      <c r="G23" s="196"/>
      <c r="H23" s="196"/>
      <c r="I23" s="196"/>
      <c r="J23" s="196"/>
      <c r="K23" s="195"/>
      <c r="L23" s="183"/>
      <c r="M23" s="197"/>
      <c r="N23" s="197"/>
      <c r="O23" s="196"/>
      <c r="P23" s="196"/>
      <c r="Q23" s="195"/>
    </row>
    <row r="24" spans="2:17" hidden="1" outlineLevel="1" x14ac:dyDescent="0.3">
      <c r="B24" s="252"/>
      <c r="C24" s="190"/>
      <c r="D24" s="190"/>
      <c r="E24" s="190"/>
      <c r="F24" s="255" t="s">
        <v>234</v>
      </c>
      <c r="G24" s="196">
        <v>0</v>
      </c>
      <c r="H24" s="196">
        <v>0</v>
      </c>
      <c r="I24" s="196">
        <v>0</v>
      </c>
      <c r="J24" s="196"/>
      <c r="K24" s="195">
        <v>0</v>
      </c>
      <c r="L24" s="183"/>
      <c r="M24" s="197">
        <v>0</v>
      </c>
      <c r="N24" s="197">
        <v>0</v>
      </c>
      <c r="O24" s="196">
        <v>0</v>
      </c>
      <c r="P24" s="196">
        <v>0</v>
      </c>
      <c r="Q24" s="195">
        <v>68000</v>
      </c>
    </row>
    <row r="25" spans="2:17" hidden="1" outlineLevel="1" x14ac:dyDescent="0.3">
      <c r="B25" s="252"/>
      <c r="C25" s="190"/>
      <c r="D25" s="190"/>
      <c r="E25" s="190"/>
      <c r="F25" s="255" t="s">
        <v>233</v>
      </c>
      <c r="G25" s="196">
        <v>0</v>
      </c>
      <c r="H25" s="196">
        <v>0</v>
      </c>
      <c r="I25" s="196">
        <v>0</v>
      </c>
      <c r="J25" s="196"/>
      <c r="K25" s="195">
        <v>0</v>
      </c>
      <c r="L25" s="183"/>
      <c r="M25" s="197">
        <v>0</v>
      </c>
      <c r="N25" s="197">
        <v>0</v>
      </c>
      <c r="O25" s="196">
        <v>0</v>
      </c>
      <c r="P25" s="196">
        <v>0</v>
      </c>
      <c r="Q25" s="195">
        <v>10000</v>
      </c>
    </row>
    <row r="26" spans="2:17" hidden="1" outlineLevel="1" x14ac:dyDescent="0.3">
      <c r="B26" s="252"/>
      <c r="C26" s="190"/>
      <c r="D26" s="190"/>
      <c r="E26" s="190"/>
      <c r="F26" s="255" t="s">
        <v>181</v>
      </c>
      <c r="G26" s="196">
        <v>0</v>
      </c>
      <c r="H26" s="196">
        <v>0</v>
      </c>
      <c r="I26" s="196">
        <v>0</v>
      </c>
      <c r="J26" s="196"/>
      <c r="K26" s="195">
        <v>0</v>
      </c>
      <c r="L26" s="183"/>
      <c r="M26" s="197">
        <v>0</v>
      </c>
      <c r="N26" s="197">
        <v>0</v>
      </c>
      <c r="O26" s="196">
        <v>3675.45</v>
      </c>
      <c r="P26" s="196">
        <v>50</v>
      </c>
      <c r="Q26" s="195"/>
    </row>
    <row r="27" spans="2:17" hidden="1" outlineLevel="1" x14ac:dyDescent="0.3">
      <c r="B27" s="252"/>
      <c r="C27" s="190"/>
      <c r="D27" s="190"/>
      <c r="E27" s="190"/>
      <c r="F27" s="255" t="s">
        <v>232</v>
      </c>
      <c r="G27" s="196">
        <v>0</v>
      </c>
      <c r="H27" s="196">
        <v>0</v>
      </c>
      <c r="I27" s="196">
        <v>0</v>
      </c>
      <c r="J27" s="196"/>
      <c r="K27" s="195">
        <v>0</v>
      </c>
      <c r="L27" s="183"/>
      <c r="M27" s="197">
        <v>0</v>
      </c>
      <c r="N27" s="197">
        <v>0</v>
      </c>
      <c r="O27" s="196">
        <v>0</v>
      </c>
      <c r="P27" s="196">
        <v>0</v>
      </c>
      <c r="Q27" s="195">
        <v>35000</v>
      </c>
    </row>
    <row r="28" spans="2:17" collapsed="1" x14ac:dyDescent="0.3">
      <c r="B28" s="252"/>
      <c r="C28" s="190"/>
      <c r="D28" s="190"/>
      <c r="E28" s="190" t="s">
        <v>182</v>
      </c>
      <c r="F28" s="255"/>
      <c r="G28" s="196">
        <f>ROUND(SUM(G23:G27),5)</f>
        <v>0</v>
      </c>
      <c r="H28" s="196">
        <f>ROUND(SUM(H23:H27),5)</f>
        <v>0</v>
      </c>
      <c r="I28" s="196">
        <f>ROUND(SUM(I23:I27),5)</f>
        <v>0</v>
      </c>
      <c r="J28" s="196">
        <v>0</v>
      </c>
      <c r="K28" s="285">
        <f>SUM(K24:K27)</f>
        <v>0</v>
      </c>
      <c r="L28" s="183"/>
      <c r="M28" s="197">
        <f>ROUND(SUM(M23:M27),5)</f>
        <v>0</v>
      </c>
      <c r="N28" s="197">
        <f>ROUND(SUM(N23:N27),5)</f>
        <v>0</v>
      </c>
      <c r="O28" s="196">
        <f>ROUND(SUM(O23:O27),5)</f>
        <v>3675.45</v>
      </c>
      <c r="P28" s="196">
        <f>ROUND(SUM(P23:P27),5)</f>
        <v>50</v>
      </c>
      <c r="Q28" s="285">
        <f>ROUND(SUM(Q24:Q27),5)</f>
        <v>113000</v>
      </c>
    </row>
    <row r="29" spans="2:17" hidden="1" outlineLevel="1" x14ac:dyDescent="0.3">
      <c r="B29" s="252"/>
      <c r="C29" s="190"/>
      <c r="D29" s="190"/>
      <c r="E29" s="190" t="s">
        <v>269</v>
      </c>
      <c r="F29" s="255"/>
      <c r="G29" s="196"/>
      <c r="H29" s="196"/>
      <c r="I29" s="196"/>
      <c r="J29" s="196"/>
      <c r="K29" s="195"/>
      <c r="L29" s="183"/>
      <c r="M29" s="197"/>
      <c r="N29" s="197"/>
      <c r="O29" s="196"/>
      <c r="P29" s="196"/>
      <c r="Q29" s="195"/>
    </row>
    <row r="30" spans="2:17" hidden="1" outlineLevel="1" x14ac:dyDescent="0.3">
      <c r="B30" s="252"/>
      <c r="C30" s="190"/>
      <c r="D30" s="190"/>
      <c r="E30" s="190"/>
      <c r="F30" s="255" t="s">
        <v>270</v>
      </c>
      <c r="G30" s="196">
        <v>0</v>
      </c>
      <c r="H30" s="196">
        <v>0</v>
      </c>
      <c r="I30" s="196">
        <v>0</v>
      </c>
      <c r="J30" s="196"/>
      <c r="K30" s="195"/>
      <c r="L30" s="183"/>
      <c r="M30" s="197">
        <v>0</v>
      </c>
      <c r="N30" s="197">
        <v>0</v>
      </c>
      <c r="O30" s="196">
        <v>0</v>
      </c>
      <c r="P30" s="196">
        <v>0</v>
      </c>
      <c r="Q30" s="195">
        <v>10000</v>
      </c>
    </row>
    <row r="31" spans="2:17" hidden="1" outlineLevel="1" x14ac:dyDescent="0.3">
      <c r="B31" s="252"/>
      <c r="C31" s="190"/>
      <c r="D31" s="190"/>
      <c r="E31" s="190"/>
      <c r="F31" s="255" t="s">
        <v>271</v>
      </c>
      <c r="G31" s="196">
        <v>0</v>
      </c>
      <c r="H31" s="196">
        <v>0</v>
      </c>
      <c r="I31" s="196">
        <v>0</v>
      </c>
      <c r="J31" s="196"/>
      <c r="K31" s="195">
        <v>0</v>
      </c>
      <c r="L31" s="183"/>
      <c r="M31" s="197">
        <v>0</v>
      </c>
      <c r="N31" s="197">
        <v>0</v>
      </c>
      <c r="O31" s="196">
        <v>0</v>
      </c>
      <c r="P31" s="196">
        <v>0</v>
      </c>
      <c r="Q31" s="195">
        <v>0</v>
      </c>
    </row>
    <row r="32" spans="2:17" hidden="1" outlineLevel="1" x14ac:dyDescent="0.3">
      <c r="B32" s="252"/>
      <c r="C32" s="190"/>
      <c r="D32" s="190"/>
      <c r="E32" s="190"/>
      <c r="F32" s="255" t="s">
        <v>272</v>
      </c>
      <c r="G32" s="196">
        <v>0</v>
      </c>
      <c r="H32" s="196">
        <v>0</v>
      </c>
      <c r="I32" s="196">
        <v>0</v>
      </c>
      <c r="J32" s="196"/>
      <c r="K32" s="195">
        <v>0</v>
      </c>
      <c r="L32" s="183"/>
      <c r="M32" s="197">
        <v>9049.8799999999992</v>
      </c>
      <c r="N32" s="197">
        <v>0</v>
      </c>
      <c r="O32" s="196">
        <v>0</v>
      </c>
      <c r="P32" s="196">
        <v>0</v>
      </c>
      <c r="Q32" s="195">
        <v>0</v>
      </c>
    </row>
    <row r="33" spans="2:17" hidden="1" outlineLevel="1" x14ac:dyDescent="0.3">
      <c r="B33" s="252"/>
      <c r="C33" s="190"/>
      <c r="D33" s="190"/>
      <c r="E33" s="190"/>
      <c r="F33" s="255" t="s">
        <v>273</v>
      </c>
      <c r="G33" s="196">
        <v>33307.620000000003</v>
      </c>
      <c r="H33" s="196">
        <v>0</v>
      </c>
      <c r="I33" s="196">
        <v>0</v>
      </c>
      <c r="J33" s="196"/>
      <c r="K33" s="195">
        <v>0</v>
      </c>
      <c r="L33" s="183"/>
      <c r="M33" s="197">
        <v>19898.21</v>
      </c>
      <c r="N33" s="197">
        <v>0</v>
      </c>
      <c r="O33" s="196">
        <v>0</v>
      </c>
      <c r="P33" s="196">
        <v>0</v>
      </c>
      <c r="Q33" s="195">
        <v>0</v>
      </c>
    </row>
    <row r="34" spans="2:17" collapsed="1" x14ac:dyDescent="0.3">
      <c r="B34" s="252"/>
      <c r="C34" s="190"/>
      <c r="D34" s="190"/>
      <c r="E34" s="190" t="s">
        <v>274</v>
      </c>
      <c r="F34" s="255"/>
      <c r="G34" s="196">
        <f>ROUND(SUM(G29:G33),5)</f>
        <v>33307.620000000003</v>
      </c>
      <c r="H34" s="196">
        <f>ROUND(SUM(H29:H33),5)</f>
        <v>0</v>
      </c>
      <c r="I34" s="196">
        <f>ROUND(SUM(I29:I33),5)</f>
        <v>0</v>
      </c>
      <c r="J34" s="196"/>
      <c r="K34" s="285">
        <v>10000</v>
      </c>
      <c r="L34" s="183"/>
      <c r="M34" s="197">
        <f>ROUND(SUM(M29:M33),5)</f>
        <v>28948.09</v>
      </c>
      <c r="N34" s="197">
        <f>ROUND(SUM(N29:N33),5)</f>
        <v>0</v>
      </c>
      <c r="O34" s="196"/>
      <c r="P34" s="196"/>
      <c r="Q34" s="285"/>
    </row>
    <row r="35" spans="2:17" hidden="1" outlineLevel="1" x14ac:dyDescent="0.3">
      <c r="B35" s="252"/>
      <c r="C35" s="190"/>
      <c r="D35" s="190"/>
      <c r="E35" s="190" t="s">
        <v>81</v>
      </c>
      <c r="F35" s="255"/>
      <c r="G35" s="196"/>
      <c r="H35" s="196"/>
      <c r="I35" s="196"/>
      <c r="J35" s="196"/>
      <c r="K35" s="195"/>
      <c r="L35" s="183"/>
      <c r="M35" s="197"/>
      <c r="N35" s="197"/>
      <c r="O35" s="196"/>
      <c r="P35" s="196"/>
      <c r="Q35" s="195"/>
    </row>
    <row r="36" spans="2:17" hidden="1" outlineLevel="1" x14ac:dyDescent="0.3">
      <c r="B36" s="252"/>
      <c r="C36" s="190"/>
      <c r="D36" s="190"/>
      <c r="E36" s="190"/>
      <c r="F36" s="255" t="s">
        <v>231</v>
      </c>
      <c r="G36" s="196">
        <v>0</v>
      </c>
      <c r="H36" s="196">
        <v>0</v>
      </c>
      <c r="I36" s="196">
        <v>0</v>
      </c>
      <c r="J36" s="196"/>
      <c r="K36" s="195">
        <v>0</v>
      </c>
      <c r="L36" s="183"/>
      <c r="M36" s="197">
        <v>0</v>
      </c>
      <c r="N36" s="197">
        <v>0</v>
      </c>
      <c r="O36" s="196">
        <v>0</v>
      </c>
      <c r="P36" s="196">
        <v>0</v>
      </c>
      <c r="Q36" s="195">
        <v>0</v>
      </c>
    </row>
    <row r="37" spans="2:17" hidden="1" outlineLevel="1" x14ac:dyDescent="0.3">
      <c r="B37" s="252"/>
      <c r="C37" s="190"/>
      <c r="D37" s="190"/>
      <c r="E37" s="190"/>
      <c r="F37" s="255" t="s">
        <v>230</v>
      </c>
      <c r="G37" s="196">
        <v>0</v>
      </c>
      <c r="H37" s="196">
        <v>0</v>
      </c>
      <c r="I37" s="196">
        <v>0</v>
      </c>
      <c r="J37" s="196"/>
      <c r="K37" s="195">
        <v>0</v>
      </c>
      <c r="L37" s="183"/>
      <c r="M37" s="197">
        <v>0</v>
      </c>
      <c r="N37" s="197">
        <v>0</v>
      </c>
      <c r="O37" s="196">
        <v>0</v>
      </c>
      <c r="P37" s="196">
        <v>0</v>
      </c>
      <c r="Q37" s="195">
        <v>0</v>
      </c>
    </row>
    <row r="38" spans="2:17" hidden="1" outlineLevel="1" x14ac:dyDescent="0.3">
      <c r="B38" s="252"/>
      <c r="C38" s="190"/>
      <c r="D38" s="190"/>
      <c r="E38" s="190"/>
      <c r="F38" s="255" t="s">
        <v>229</v>
      </c>
      <c r="G38" s="196">
        <v>0</v>
      </c>
      <c r="H38" s="196">
        <v>0</v>
      </c>
      <c r="I38" s="196">
        <v>0</v>
      </c>
      <c r="J38" s="196"/>
      <c r="K38" s="195">
        <v>2500</v>
      </c>
      <c r="L38" s="183"/>
      <c r="M38" s="197">
        <v>9049.8799999999992</v>
      </c>
      <c r="N38" s="197">
        <v>0</v>
      </c>
      <c r="O38" s="196">
        <v>0</v>
      </c>
      <c r="P38" s="196">
        <v>0</v>
      </c>
      <c r="Q38" s="195">
        <v>0</v>
      </c>
    </row>
    <row r="39" spans="2:17" hidden="1" outlineLevel="1" x14ac:dyDescent="0.3">
      <c r="B39" s="252"/>
      <c r="C39" s="190"/>
      <c r="D39" s="190"/>
      <c r="E39" s="190"/>
      <c r="F39" s="255" t="s">
        <v>228</v>
      </c>
      <c r="G39" s="196">
        <v>33307.620000000003</v>
      </c>
      <c r="H39" s="196">
        <v>0</v>
      </c>
      <c r="I39" s="196">
        <v>0</v>
      </c>
      <c r="J39" s="196"/>
      <c r="K39" s="195">
        <v>2500</v>
      </c>
      <c r="L39" s="183"/>
      <c r="M39" s="197">
        <v>19898.21</v>
      </c>
      <c r="N39" s="197">
        <v>0</v>
      </c>
      <c r="O39" s="196">
        <v>0</v>
      </c>
      <c r="P39" s="196">
        <v>0</v>
      </c>
      <c r="Q39" s="195">
        <v>0</v>
      </c>
    </row>
    <row r="40" spans="2:17" collapsed="1" x14ac:dyDescent="0.3">
      <c r="B40" s="252"/>
      <c r="C40" s="190"/>
      <c r="D40" s="190"/>
      <c r="E40" s="190" t="s">
        <v>227</v>
      </c>
      <c r="F40" s="255"/>
      <c r="G40" s="196">
        <f>ROUND(SUM(G35:G39),5)</f>
        <v>33307.620000000003</v>
      </c>
      <c r="H40" s="196">
        <f>ROUND(SUM(H35:H39),5)</f>
        <v>0</v>
      </c>
      <c r="I40" s="196">
        <f>ROUND(SUM(I35:I39),5)</f>
        <v>0</v>
      </c>
      <c r="J40" s="196">
        <v>35019</v>
      </c>
      <c r="K40" s="285">
        <v>5000</v>
      </c>
      <c r="L40" s="183"/>
      <c r="M40" s="197">
        <f>ROUND(SUM(M35:M39),5)</f>
        <v>28948.09</v>
      </c>
      <c r="N40" s="197">
        <f>ROUND(SUM(N35:N39),5)</f>
        <v>0</v>
      </c>
      <c r="O40" s="196"/>
      <c r="P40" s="196"/>
      <c r="Q40" s="195"/>
    </row>
    <row r="41" spans="2:17" hidden="1" outlineLevel="1" x14ac:dyDescent="0.3">
      <c r="B41" s="252"/>
      <c r="C41" s="190"/>
      <c r="D41" s="190"/>
      <c r="E41" s="190" t="s">
        <v>100</v>
      </c>
      <c r="F41" s="255"/>
      <c r="G41" s="196"/>
      <c r="H41" s="196"/>
      <c r="I41" s="196"/>
      <c r="J41" s="196"/>
      <c r="K41" s="195"/>
      <c r="L41" s="183"/>
      <c r="M41" s="197"/>
      <c r="N41" s="197"/>
      <c r="O41" s="196"/>
      <c r="P41" s="196"/>
      <c r="Q41" s="195"/>
    </row>
    <row r="42" spans="2:17" hidden="1" outlineLevel="1" x14ac:dyDescent="0.3">
      <c r="B42" s="252"/>
      <c r="C42" s="190"/>
      <c r="D42" s="190"/>
      <c r="E42" s="190"/>
      <c r="F42" s="255" t="s">
        <v>226</v>
      </c>
      <c r="G42" s="196">
        <v>407.17</v>
      </c>
      <c r="H42" s="196">
        <v>0</v>
      </c>
      <c r="I42" s="196">
        <v>0</v>
      </c>
      <c r="J42" s="196"/>
      <c r="K42" s="195">
        <v>0</v>
      </c>
      <c r="L42" s="183"/>
      <c r="M42" s="197">
        <v>0</v>
      </c>
      <c r="N42" s="197">
        <v>0</v>
      </c>
      <c r="O42" s="196">
        <v>0</v>
      </c>
      <c r="P42" s="196">
        <v>0</v>
      </c>
      <c r="Q42" s="195">
        <v>0</v>
      </c>
    </row>
    <row r="43" spans="2:17" hidden="1" outlineLevel="1" x14ac:dyDescent="0.3">
      <c r="B43" s="252"/>
      <c r="C43" s="190"/>
      <c r="D43" s="190"/>
      <c r="E43" s="190"/>
      <c r="F43" s="255" t="s">
        <v>225</v>
      </c>
      <c r="G43" s="196">
        <v>2170.79</v>
      </c>
      <c r="H43" s="196">
        <v>0</v>
      </c>
      <c r="I43" s="196">
        <v>0</v>
      </c>
      <c r="J43" s="196"/>
      <c r="K43" s="195">
        <v>0</v>
      </c>
      <c r="L43" s="183"/>
      <c r="M43" s="197">
        <v>0</v>
      </c>
      <c r="N43" s="197">
        <v>0</v>
      </c>
      <c r="O43" s="196">
        <v>0</v>
      </c>
      <c r="P43" s="196">
        <v>0</v>
      </c>
      <c r="Q43" s="195">
        <v>0</v>
      </c>
    </row>
    <row r="44" spans="2:17" hidden="1" collapsed="1" x14ac:dyDescent="0.3">
      <c r="B44" s="252"/>
      <c r="C44" s="190"/>
      <c r="D44" s="190"/>
      <c r="E44" s="190" t="s">
        <v>224</v>
      </c>
      <c r="F44" s="255"/>
      <c r="G44" s="196">
        <f>ROUND(SUM(G41:G43),5)</f>
        <v>2577.96</v>
      </c>
      <c r="H44" s="196">
        <f>ROUND(SUM(H41:H43),5)</f>
        <v>0</v>
      </c>
      <c r="I44" s="196">
        <f>ROUND(SUM(I41:I43),5)</f>
        <v>0</v>
      </c>
      <c r="J44" s="196"/>
      <c r="K44" s="195">
        <f>ROUND(SUM(K41:K43),5)</f>
        <v>0</v>
      </c>
      <c r="L44" s="183"/>
      <c r="M44" s="197">
        <f>ROUND(SUM(M41:M43),5)</f>
        <v>0</v>
      </c>
      <c r="N44" s="197">
        <f>ROUND(SUM(N41:N43),5)</f>
        <v>0</v>
      </c>
      <c r="O44" s="196">
        <f>ROUND(SUM(O41:O43),5)</f>
        <v>0</v>
      </c>
      <c r="P44" s="196">
        <f>ROUND(SUM(P41:P43),5)</f>
        <v>0</v>
      </c>
      <c r="Q44" s="195">
        <f>ROUND(SUM(Q41:Q43),5)</f>
        <v>0</v>
      </c>
    </row>
    <row r="45" spans="2:17" hidden="1" outlineLevel="1" x14ac:dyDescent="0.3">
      <c r="B45" s="252"/>
      <c r="C45" s="190"/>
      <c r="D45" s="190"/>
      <c r="E45" s="190" t="s">
        <v>219</v>
      </c>
      <c r="F45" s="255"/>
      <c r="G45" s="196"/>
      <c r="H45" s="196"/>
      <c r="I45" s="196"/>
      <c r="J45" s="196"/>
      <c r="K45" s="195"/>
      <c r="L45" s="183"/>
      <c r="M45" s="197"/>
      <c r="N45" s="197"/>
      <c r="O45" s="196"/>
      <c r="P45" s="196"/>
      <c r="Q45" s="195"/>
    </row>
    <row r="46" spans="2:17" hidden="1" outlineLevel="1" x14ac:dyDescent="0.3">
      <c r="B46" s="252"/>
      <c r="C46" s="190"/>
      <c r="D46" s="190"/>
      <c r="E46" s="190"/>
      <c r="F46" s="255" t="s">
        <v>213</v>
      </c>
      <c r="G46" s="196">
        <v>0</v>
      </c>
      <c r="H46" s="196">
        <v>0</v>
      </c>
      <c r="I46" s="196">
        <v>0</v>
      </c>
      <c r="J46" s="196"/>
      <c r="K46" s="195">
        <v>0</v>
      </c>
      <c r="L46" s="183"/>
      <c r="M46" s="197">
        <v>0</v>
      </c>
      <c r="N46" s="197">
        <v>0</v>
      </c>
      <c r="O46" s="196">
        <v>0</v>
      </c>
      <c r="P46" s="196">
        <v>0</v>
      </c>
      <c r="Q46" s="195">
        <v>0</v>
      </c>
    </row>
    <row r="47" spans="2:17" hidden="1" outlineLevel="1" x14ac:dyDescent="0.3">
      <c r="B47" s="252"/>
      <c r="C47" s="190"/>
      <c r="D47" s="190"/>
      <c r="E47" s="190"/>
      <c r="F47" s="255" t="s">
        <v>212</v>
      </c>
      <c r="G47" s="196">
        <v>0</v>
      </c>
      <c r="H47" s="196">
        <v>0</v>
      </c>
      <c r="I47" s="196">
        <v>0</v>
      </c>
      <c r="J47" s="196"/>
      <c r="K47" s="195">
        <v>0</v>
      </c>
      <c r="L47" s="183"/>
      <c r="M47" s="197">
        <v>0</v>
      </c>
      <c r="N47" s="197">
        <v>0</v>
      </c>
      <c r="O47" s="196">
        <v>0</v>
      </c>
      <c r="P47" s="196">
        <v>0</v>
      </c>
      <c r="Q47" s="195">
        <v>0</v>
      </c>
    </row>
    <row r="48" spans="2:17" hidden="1" outlineLevel="1" x14ac:dyDescent="0.3">
      <c r="B48" s="252"/>
      <c r="C48" s="190"/>
      <c r="D48" s="190"/>
      <c r="E48" s="190"/>
      <c r="F48" s="255" t="s">
        <v>211</v>
      </c>
      <c r="G48" s="196">
        <v>0</v>
      </c>
      <c r="H48" s="196">
        <v>0</v>
      </c>
      <c r="I48" s="196">
        <v>0</v>
      </c>
      <c r="J48" s="196"/>
      <c r="K48" s="195">
        <v>0</v>
      </c>
      <c r="L48" s="183"/>
      <c r="M48" s="197">
        <v>0</v>
      </c>
      <c r="N48" s="197">
        <v>0</v>
      </c>
      <c r="O48" s="196">
        <v>0</v>
      </c>
      <c r="P48" s="196">
        <v>0</v>
      </c>
      <c r="Q48" s="195">
        <v>0</v>
      </c>
    </row>
    <row r="49" spans="2:17" hidden="1" outlineLevel="1" x14ac:dyDescent="0.3">
      <c r="B49" s="252"/>
      <c r="C49" s="190"/>
      <c r="D49" s="190"/>
      <c r="E49" s="190"/>
      <c r="F49" s="255" t="s">
        <v>210</v>
      </c>
      <c r="G49" s="196">
        <v>0</v>
      </c>
      <c r="H49" s="196">
        <v>0</v>
      </c>
      <c r="I49" s="196">
        <v>0</v>
      </c>
      <c r="J49" s="196">
        <v>30000</v>
      </c>
      <c r="K49" s="195">
        <v>70000</v>
      </c>
      <c r="L49" s="183"/>
      <c r="M49" s="197">
        <v>0</v>
      </c>
      <c r="N49" s="197">
        <v>0</v>
      </c>
      <c r="O49" s="196">
        <v>0</v>
      </c>
      <c r="P49" s="196">
        <v>0</v>
      </c>
      <c r="Q49" s="195">
        <v>0</v>
      </c>
    </row>
    <row r="50" spans="2:17" collapsed="1" x14ac:dyDescent="0.3">
      <c r="B50" s="252"/>
      <c r="C50" s="190"/>
      <c r="D50" s="190"/>
      <c r="E50" s="190" t="s">
        <v>218</v>
      </c>
      <c r="F50" s="255"/>
      <c r="G50" s="196">
        <f>ROUND(SUM(G45:G49),5)</f>
        <v>0</v>
      </c>
      <c r="H50" s="196">
        <f>ROUND(SUM(H45:H49),5)</f>
        <v>0</v>
      </c>
      <c r="I50" s="196">
        <f>ROUND(SUM(I45:I49),5)</f>
        <v>0</v>
      </c>
      <c r="J50" s="384">
        <v>15000</v>
      </c>
      <c r="K50" s="385">
        <v>85000</v>
      </c>
      <c r="L50" s="183"/>
      <c r="M50" s="197">
        <f>ROUND(SUM(M45:M49),5)</f>
        <v>0</v>
      </c>
      <c r="N50" s="197">
        <f>ROUND(SUM(N45:N49),5)</f>
        <v>0</v>
      </c>
      <c r="O50" s="196">
        <f>ROUND(SUM(O45:O49),5)</f>
        <v>0</v>
      </c>
      <c r="P50" s="196">
        <f>ROUND(SUM(P45:P49),5)</f>
        <v>0</v>
      </c>
      <c r="Q50" s="195">
        <v>0</v>
      </c>
    </row>
    <row r="51" spans="2:17" hidden="1" outlineLevel="1" x14ac:dyDescent="0.3">
      <c r="B51" s="252"/>
      <c r="C51" s="190"/>
      <c r="D51" s="190"/>
      <c r="E51" s="190" t="s">
        <v>223</v>
      </c>
      <c r="F51" s="255"/>
      <c r="G51" s="196"/>
      <c r="H51" s="196"/>
      <c r="I51" s="196"/>
      <c r="J51" s="196"/>
      <c r="K51" s="195"/>
      <c r="L51" s="183"/>
      <c r="M51" s="197"/>
      <c r="N51" s="197"/>
      <c r="O51" s="196"/>
      <c r="P51" s="196"/>
      <c r="Q51" s="195"/>
    </row>
    <row r="52" spans="2:17" hidden="1" outlineLevel="1" x14ac:dyDescent="0.3">
      <c r="B52" s="252"/>
      <c r="C52" s="190"/>
      <c r="D52" s="190"/>
      <c r="E52" s="190"/>
      <c r="F52" s="255" t="s">
        <v>222</v>
      </c>
      <c r="G52" s="196">
        <v>0</v>
      </c>
      <c r="H52" s="196">
        <v>0</v>
      </c>
      <c r="I52" s="196">
        <v>0</v>
      </c>
      <c r="J52" s="196"/>
      <c r="K52" s="195">
        <v>30000</v>
      </c>
      <c r="L52" s="183"/>
      <c r="M52" s="197">
        <v>0</v>
      </c>
      <c r="N52" s="197">
        <v>0</v>
      </c>
      <c r="O52" s="196">
        <v>0</v>
      </c>
      <c r="P52" s="196">
        <v>0</v>
      </c>
      <c r="Q52" s="195">
        <v>0</v>
      </c>
    </row>
    <row r="53" spans="2:17" hidden="1" outlineLevel="1" x14ac:dyDescent="0.3">
      <c r="B53" s="252"/>
      <c r="C53" s="190"/>
      <c r="D53" s="190"/>
      <c r="E53" s="190"/>
      <c r="F53" s="255" t="s">
        <v>221</v>
      </c>
      <c r="G53" s="196">
        <v>0</v>
      </c>
      <c r="H53" s="196">
        <v>0</v>
      </c>
      <c r="I53" s="196">
        <v>0</v>
      </c>
      <c r="J53" s="196"/>
      <c r="K53" s="195">
        <v>0</v>
      </c>
      <c r="L53" s="183"/>
      <c r="M53" s="197">
        <v>0</v>
      </c>
      <c r="N53" s="197">
        <v>0</v>
      </c>
      <c r="O53" s="196">
        <v>0</v>
      </c>
      <c r="P53" s="196">
        <v>0</v>
      </c>
      <c r="Q53" s="195">
        <v>0</v>
      </c>
    </row>
    <row r="54" spans="2:17" hidden="1" outlineLevel="1" x14ac:dyDescent="0.3">
      <c r="B54" s="252"/>
      <c r="C54" s="190"/>
      <c r="D54" s="190"/>
      <c r="E54" s="190"/>
      <c r="F54" s="255" t="s">
        <v>213</v>
      </c>
      <c r="G54" s="196">
        <v>0</v>
      </c>
      <c r="H54" s="196">
        <v>0</v>
      </c>
      <c r="I54" s="196">
        <v>0</v>
      </c>
      <c r="J54" s="196"/>
      <c r="K54" s="195">
        <v>0</v>
      </c>
      <c r="L54" s="183"/>
      <c r="M54" s="197">
        <v>0</v>
      </c>
      <c r="N54" s="197">
        <v>0</v>
      </c>
      <c r="O54" s="196">
        <v>0</v>
      </c>
      <c r="P54" s="196">
        <v>0</v>
      </c>
      <c r="Q54" s="195">
        <v>0</v>
      </c>
    </row>
    <row r="55" spans="2:17" hidden="1" outlineLevel="1" x14ac:dyDescent="0.3">
      <c r="B55" s="252"/>
      <c r="C55" s="190"/>
      <c r="D55" s="190"/>
      <c r="E55" s="190"/>
      <c r="F55" s="255" t="s">
        <v>212</v>
      </c>
      <c r="G55" s="196">
        <v>0</v>
      </c>
      <c r="H55" s="196">
        <v>0</v>
      </c>
      <c r="I55" s="196">
        <v>0</v>
      </c>
      <c r="J55" s="196"/>
      <c r="K55" s="195">
        <v>0</v>
      </c>
      <c r="L55" s="183"/>
      <c r="M55" s="197">
        <v>0</v>
      </c>
      <c r="N55" s="197">
        <v>0</v>
      </c>
      <c r="O55" s="196">
        <v>0</v>
      </c>
      <c r="P55" s="196">
        <v>0</v>
      </c>
      <c r="Q55" s="195">
        <v>0</v>
      </c>
    </row>
    <row r="56" spans="2:17" hidden="1" collapsed="1" x14ac:dyDescent="0.3">
      <c r="B56" s="252"/>
      <c r="C56" s="190"/>
      <c r="D56" s="190"/>
      <c r="E56" s="190" t="s">
        <v>220</v>
      </c>
      <c r="F56" s="255"/>
      <c r="G56" s="196">
        <f>ROUND(SUM(G51:G55),5)</f>
        <v>0</v>
      </c>
      <c r="H56" s="196">
        <f>ROUND(SUM(H51:H55),5)</f>
        <v>0</v>
      </c>
      <c r="I56" s="196">
        <f>ROUND(SUM(I51:I55),5)</f>
        <v>0</v>
      </c>
      <c r="J56" s="196">
        <v>0</v>
      </c>
      <c r="K56" s="195">
        <v>0</v>
      </c>
      <c r="L56" s="183"/>
      <c r="M56" s="197">
        <f>ROUND(SUM(M51:M55),5)</f>
        <v>0</v>
      </c>
      <c r="N56" s="197">
        <f>ROUND(SUM(N51:N55),5)</f>
        <v>0</v>
      </c>
      <c r="O56" s="196">
        <f>ROUND(SUM(O51:O55),5)</f>
        <v>0</v>
      </c>
      <c r="P56" s="196">
        <f>ROUND(SUM(P51:P55),5)</f>
        <v>0</v>
      </c>
      <c r="Q56" s="195"/>
    </row>
    <row r="57" spans="2:17" hidden="1" outlineLevel="1" x14ac:dyDescent="0.3">
      <c r="B57" s="252"/>
      <c r="C57" s="190"/>
      <c r="D57" s="190"/>
      <c r="E57" s="190" t="s">
        <v>217</v>
      </c>
      <c r="F57" s="255" t="s">
        <v>216</v>
      </c>
      <c r="G57" s="196"/>
      <c r="H57" s="196"/>
      <c r="I57" s="196"/>
      <c r="J57" s="196"/>
      <c r="K57" s="195"/>
      <c r="L57" s="183"/>
      <c r="M57" s="197"/>
      <c r="N57" s="197"/>
      <c r="O57" s="196"/>
      <c r="P57" s="196"/>
      <c r="Q57" s="195"/>
    </row>
    <row r="58" spans="2:17" hidden="1" outlineLevel="1" x14ac:dyDescent="0.3">
      <c r="B58" s="252"/>
      <c r="C58" s="190"/>
      <c r="D58" s="190"/>
      <c r="E58" s="190"/>
      <c r="F58" s="255" t="s">
        <v>213</v>
      </c>
      <c r="G58" s="196">
        <v>0</v>
      </c>
      <c r="H58" s="196">
        <v>0</v>
      </c>
      <c r="I58" s="196">
        <v>0</v>
      </c>
      <c r="J58" s="196"/>
      <c r="K58" s="195">
        <v>0</v>
      </c>
      <c r="L58" s="183"/>
      <c r="M58" s="197">
        <v>0</v>
      </c>
      <c r="N58" s="197">
        <v>0</v>
      </c>
      <c r="O58" s="196">
        <v>0</v>
      </c>
      <c r="P58" s="196">
        <v>0</v>
      </c>
      <c r="Q58" s="195">
        <v>0</v>
      </c>
    </row>
    <row r="59" spans="2:17" hidden="1" outlineLevel="1" x14ac:dyDescent="0.3">
      <c r="B59" s="252"/>
      <c r="C59" s="190"/>
      <c r="D59" s="190"/>
      <c r="E59" s="190"/>
      <c r="F59" s="255" t="s">
        <v>212</v>
      </c>
      <c r="G59" s="196">
        <v>0</v>
      </c>
      <c r="H59" s="196">
        <v>0</v>
      </c>
      <c r="I59" s="196">
        <v>0</v>
      </c>
      <c r="J59" s="196"/>
      <c r="K59" s="195">
        <v>6000</v>
      </c>
      <c r="L59" s="183"/>
      <c r="M59" s="197">
        <v>0</v>
      </c>
      <c r="N59" s="197">
        <v>0</v>
      </c>
      <c r="O59" s="196">
        <v>0</v>
      </c>
      <c r="P59" s="196">
        <v>0</v>
      </c>
      <c r="Q59" s="195">
        <v>0</v>
      </c>
    </row>
    <row r="60" spans="2:17" hidden="1" outlineLevel="1" x14ac:dyDescent="0.3">
      <c r="B60" s="252"/>
      <c r="C60" s="190"/>
      <c r="D60" s="190"/>
      <c r="E60" s="190"/>
      <c r="F60" s="255" t="s">
        <v>211</v>
      </c>
      <c r="G60" s="196">
        <v>0</v>
      </c>
      <c r="H60" s="196">
        <v>0</v>
      </c>
      <c r="I60" s="196">
        <v>0</v>
      </c>
      <c r="J60" s="196"/>
      <c r="K60" s="195">
        <v>1000</v>
      </c>
      <c r="L60" s="183"/>
      <c r="M60" s="197">
        <v>0</v>
      </c>
      <c r="N60" s="197">
        <v>0</v>
      </c>
      <c r="O60" s="196">
        <v>0</v>
      </c>
      <c r="P60" s="196">
        <v>0</v>
      </c>
      <c r="Q60" s="195">
        <v>0</v>
      </c>
    </row>
    <row r="61" spans="2:17" hidden="1" outlineLevel="1" x14ac:dyDescent="0.3">
      <c r="B61" s="252"/>
      <c r="C61" s="190"/>
      <c r="D61" s="190"/>
      <c r="E61" s="190"/>
      <c r="F61" s="255" t="s">
        <v>210</v>
      </c>
      <c r="G61" s="196">
        <v>0</v>
      </c>
      <c r="H61" s="196">
        <v>0</v>
      </c>
      <c r="I61" s="196">
        <v>0</v>
      </c>
      <c r="J61" s="196"/>
      <c r="K61" s="195">
        <v>0</v>
      </c>
      <c r="L61" s="183"/>
      <c r="M61" s="197">
        <v>0</v>
      </c>
      <c r="N61" s="197">
        <v>0</v>
      </c>
      <c r="O61" s="196">
        <v>0</v>
      </c>
      <c r="P61" s="196">
        <v>0</v>
      </c>
      <c r="Q61" s="195">
        <v>0</v>
      </c>
    </row>
    <row r="62" spans="2:17" collapsed="1" x14ac:dyDescent="0.3">
      <c r="B62" s="252"/>
      <c r="C62" s="190"/>
      <c r="D62" s="190"/>
      <c r="E62" s="190" t="s">
        <v>215</v>
      </c>
      <c r="F62" s="255" t="s">
        <v>214</v>
      </c>
      <c r="G62" s="196">
        <f>ROUND(SUM(G57:G61),5)</f>
        <v>0</v>
      </c>
      <c r="H62" s="196">
        <f>ROUND(SUM(H57:H61),5)</f>
        <v>0</v>
      </c>
      <c r="I62" s="196">
        <f>ROUND(SUM(I57:I61),5)</f>
        <v>0</v>
      </c>
      <c r="J62" s="196">
        <v>5435</v>
      </c>
      <c r="K62" s="195">
        <v>0</v>
      </c>
      <c r="L62" s="183"/>
      <c r="M62" s="197">
        <f>ROUND(SUM(M57:M61),5)</f>
        <v>0</v>
      </c>
      <c r="N62" s="197">
        <f>ROUND(SUM(N57:N61),5)</f>
        <v>0</v>
      </c>
      <c r="O62" s="196">
        <f>ROUND(SUM(O57:O61),5)</f>
        <v>0</v>
      </c>
      <c r="P62" s="196">
        <f>ROUND(SUM(P57:P61),5)</f>
        <v>0</v>
      </c>
      <c r="Q62" s="195"/>
    </row>
    <row r="63" spans="2:17" hidden="1" outlineLevel="1" x14ac:dyDescent="0.3">
      <c r="B63" s="252"/>
      <c r="C63" s="190"/>
      <c r="D63" s="190"/>
      <c r="E63" s="190" t="s">
        <v>94</v>
      </c>
      <c r="F63" s="255"/>
      <c r="G63" s="196"/>
      <c r="H63" s="196"/>
      <c r="I63" s="196"/>
      <c r="J63" s="196"/>
      <c r="K63" s="195"/>
      <c r="L63" s="183"/>
      <c r="M63" s="197"/>
      <c r="N63" s="197"/>
      <c r="O63" s="196"/>
      <c r="P63" s="196"/>
      <c r="Q63" s="195"/>
    </row>
    <row r="64" spans="2:17" hidden="1" outlineLevel="1" x14ac:dyDescent="0.3">
      <c r="B64" s="252"/>
      <c r="C64" s="190"/>
      <c r="D64" s="190"/>
      <c r="E64" s="190"/>
      <c r="F64" s="255" t="s">
        <v>244</v>
      </c>
      <c r="G64" s="196">
        <v>0</v>
      </c>
      <c r="H64" s="196">
        <v>0</v>
      </c>
      <c r="I64" s="196">
        <v>0</v>
      </c>
      <c r="J64" s="196"/>
      <c r="K64" s="195">
        <v>0</v>
      </c>
      <c r="L64" s="183"/>
      <c r="M64" s="197">
        <v>275</v>
      </c>
      <c r="N64" s="197">
        <v>0</v>
      </c>
      <c r="O64" s="196">
        <v>0</v>
      </c>
      <c r="P64" s="196">
        <v>0</v>
      </c>
      <c r="Q64" s="195">
        <v>0</v>
      </c>
    </row>
    <row r="65" spans="2:17" hidden="1" outlineLevel="1" x14ac:dyDescent="0.3">
      <c r="B65" s="252"/>
      <c r="C65" s="190"/>
      <c r="D65" s="190"/>
      <c r="E65" s="190"/>
      <c r="F65" s="255" t="s">
        <v>243</v>
      </c>
      <c r="G65" s="196">
        <v>0</v>
      </c>
      <c r="H65" s="196">
        <v>0</v>
      </c>
      <c r="I65" s="196">
        <v>0</v>
      </c>
      <c r="J65" s="196"/>
      <c r="K65" s="195">
        <v>0</v>
      </c>
      <c r="L65" s="183"/>
      <c r="M65" s="197">
        <v>7181.18</v>
      </c>
      <c r="N65" s="197">
        <v>3190.13</v>
      </c>
      <c r="O65" s="196">
        <v>0</v>
      </c>
      <c r="P65" s="196">
        <v>0</v>
      </c>
      <c r="Q65" s="195">
        <v>0</v>
      </c>
    </row>
    <row r="66" spans="2:17" hidden="1" outlineLevel="1" x14ac:dyDescent="0.3">
      <c r="B66" s="252"/>
      <c r="C66" s="190"/>
      <c r="D66" s="190"/>
      <c r="E66" s="190"/>
      <c r="F66" s="255" t="s">
        <v>242</v>
      </c>
      <c r="G66" s="196">
        <v>0</v>
      </c>
      <c r="H66" s="196">
        <v>0</v>
      </c>
      <c r="I66" s="196">
        <v>0</v>
      </c>
      <c r="J66" s="196"/>
      <c r="K66" s="195">
        <v>0</v>
      </c>
      <c r="L66" s="183"/>
      <c r="M66" s="197">
        <v>44827.12</v>
      </c>
      <c r="N66" s="197">
        <v>779.75</v>
      </c>
      <c r="O66" s="196">
        <v>0</v>
      </c>
      <c r="P66" s="196">
        <v>0</v>
      </c>
      <c r="Q66" s="195">
        <v>0</v>
      </c>
    </row>
    <row r="67" spans="2:17" collapsed="1" x14ac:dyDescent="0.3">
      <c r="B67" s="252"/>
      <c r="C67" s="190"/>
      <c r="D67" s="190"/>
      <c r="E67" s="190" t="s">
        <v>241</v>
      </c>
      <c r="F67" s="255"/>
      <c r="G67" s="196">
        <f>ROUND(SUM(G63:G66),5)</f>
        <v>0</v>
      </c>
      <c r="H67" s="196">
        <f>ROUND(SUM(H63:H66),5)</f>
        <v>0</v>
      </c>
      <c r="I67" s="196">
        <f>ROUND(SUM(I63:I66),5)</f>
        <v>0</v>
      </c>
      <c r="J67" s="196"/>
      <c r="K67" s="195">
        <v>0</v>
      </c>
      <c r="L67" s="183"/>
      <c r="M67" s="197">
        <f>ROUND(SUM(M63:M66),5)</f>
        <v>52283.3</v>
      </c>
      <c r="N67" s="197">
        <f>ROUND(SUM(N63:N66),5)</f>
        <v>3969.88</v>
      </c>
      <c r="O67" s="196">
        <f>ROUND(SUM(O63:O66),5)</f>
        <v>0</v>
      </c>
      <c r="P67" s="196">
        <f>ROUND(SUM(P63:P66),5)</f>
        <v>0</v>
      </c>
      <c r="Q67" s="195">
        <f>ROUND(SUM(Q63:Q66),5)</f>
        <v>0</v>
      </c>
    </row>
    <row r="68" spans="2:17" hidden="1" outlineLevel="1" x14ac:dyDescent="0.3">
      <c r="B68" s="252"/>
      <c r="C68" s="190"/>
      <c r="D68" s="190"/>
      <c r="E68" s="190" t="s">
        <v>99</v>
      </c>
      <c r="F68" s="255"/>
      <c r="G68" s="196"/>
      <c r="H68" s="196"/>
      <c r="I68" s="196"/>
      <c r="J68" s="196"/>
      <c r="K68" s="195"/>
      <c r="L68" s="183"/>
      <c r="M68" s="197"/>
      <c r="N68" s="197"/>
      <c r="O68" s="196"/>
      <c r="P68" s="196"/>
      <c r="Q68" s="195"/>
    </row>
    <row r="69" spans="2:17" hidden="1" outlineLevel="1" x14ac:dyDescent="0.3">
      <c r="B69" s="252"/>
      <c r="C69" s="190"/>
      <c r="D69" s="190"/>
      <c r="E69" s="190"/>
      <c r="F69" s="255" t="s">
        <v>240</v>
      </c>
      <c r="G69" s="196">
        <v>0</v>
      </c>
      <c r="H69" s="196">
        <v>0</v>
      </c>
      <c r="I69" s="196">
        <v>0</v>
      </c>
      <c r="J69" s="196"/>
      <c r="K69" s="195">
        <v>0</v>
      </c>
      <c r="L69" s="183"/>
      <c r="M69" s="197">
        <v>0</v>
      </c>
      <c r="N69" s="197">
        <v>0</v>
      </c>
      <c r="O69" s="196">
        <v>0</v>
      </c>
      <c r="P69" s="196">
        <v>0</v>
      </c>
      <c r="Q69" s="195">
        <v>0</v>
      </c>
    </row>
    <row r="70" spans="2:17" hidden="1" outlineLevel="1" x14ac:dyDescent="0.3">
      <c r="B70" s="252"/>
      <c r="C70" s="190"/>
      <c r="D70" s="190"/>
      <c r="E70" s="190"/>
      <c r="F70" s="255" t="s">
        <v>239</v>
      </c>
      <c r="G70" s="196">
        <v>0</v>
      </c>
      <c r="H70" s="196">
        <v>0</v>
      </c>
      <c r="I70" s="196">
        <v>0</v>
      </c>
      <c r="J70" s="196"/>
      <c r="K70" s="195">
        <v>0</v>
      </c>
      <c r="L70" s="183"/>
      <c r="M70" s="197">
        <v>0</v>
      </c>
      <c r="N70" s="197">
        <v>0</v>
      </c>
      <c r="O70" s="196">
        <v>0</v>
      </c>
      <c r="P70" s="196">
        <v>0</v>
      </c>
      <c r="Q70" s="195">
        <v>0</v>
      </c>
    </row>
    <row r="71" spans="2:17" hidden="1" outlineLevel="1" x14ac:dyDescent="0.3">
      <c r="B71" s="252"/>
      <c r="C71" s="190"/>
      <c r="D71" s="190"/>
      <c r="E71" s="190"/>
      <c r="F71" s="255" t="s">
        <v>238</v>
      </c>
      <c r="G71" s="196">
        <v>0</v>
      </c>
      <c r="H71" s="196">
        <v>0</v>
      </c>
      <c r="I71" s="196">
        <v>0</v>
      </c>
      <c r="J71" s="196"/>
      <c r="K71" s="195">
        <v>0</v>
      </c>
      <c r="L71" s="183"/>
      <c r="M71" s="197">
        <v>1152</v>
      </c>
      <c r="N71" s="197">
        <v>0</v>
      </c>
      <c r="O71" s="196">
        <v>0</v>
      </c>
      <c r="P71" s="196">
        <v>0</v>
      </c>
      <c r="Q71" s="195">
        <v>0</v>
      </c>
    </row>
    <row r="72" spans="2:17" hidden="1" collapsed="1" x14ac:dyDescent="0.3">
      <c r="B72" s="252"/>
      <c r="C72" s="190"/>
      <c r="D72" s="190"/>
      <c r="E72" s="190" t="s">
        <v>237</v>
      </c>
      <c r="F72" s="255"/>
      <c r="G72" s="196">
        <f>ROUND(SUM(G68:G71),5)</f>
        <v>0</v>
      </c>
      <c r="H72" s="196">
        <f>ROUND(SUM(H68:H71),5)</f>
        <v>0</v>
      </c>
      <c r="I72" s="196">
        <f>ROUND(SUM(I68:I71),5)</f>
        <v>0</v>
      </c>
      <c r="J72" s="196"/>
      <c r="K72" s="195">
        <f>ROUND(SUM(K68:K71),5)</f>
        <v>0</v>
      </c>
      <c r="L72" s="183"/>
      <c r="M72" s="197">
        <f>ROUND(SUM(M68:M71),5)</f>
        <v>1152</v>
      </c>
      <c r="N72" s="197">
        <f>ROUND(SUM(N68:N71),5)</f>
        <v>0</v>
      </c>
      <c r="O72" s="196">
        <f>ROUND(SUM(O68:O71),5)</f>
        <v>0</v>
      </c>
      <c r="P72" s="196">
        <f>ROUND(SUM(P68:P71),5)</f>
        <v>0</v>
      </c>
      <c r="Q72" s="195">
        <f>ROUND(SUM(Q68:Q71),5)</f>
        <v>0</v>
      </c>
    </row>
    <row r="73" spans="2:17" hidden="1" outlineLevel="1" x14ac:dyDescent="0.3">
      <c r="B73" s="252"/>
      <c r="C73" s="190"/>
      <c r="D73" s="190"/>
      <c r="E73" s="190" t="s">
        <v>79</v>
      </c>
      <c r="F73" s="255"/>
      <c r="G73" s="196"/>
      <c r="H73" s="196"/>
      <c r="I73" s="196"/>
      <c r="J73" s="196"/>
      <c r="K73" s="195"/>
      <c r="L73" s="183"/>
      <c r="M73" s="197"/>
      <c r="N73" s="197"/>
      <c r="O73" s="196"/>
      <c r="P73" s="196"/>
      <c r="Q73" s="195"/>
    </row>
    <row r="74" spans="2:17" hidden="1" outlineLevel="1" x14ac:dyDescent="0.3">
      <c r="B74" s="252"/>
      <c r="C74" s="190"/>
      <c r="D74" s="190"/>
      <c r="E74" s="190"/>
      <c r="F74" s="255" t="s">
        <v>178</v>
      </c>
      <c r="G74" s="196">
        <v>0</v>
      </c>
      <c r="H74" s="196">
        <v>0</v>
      </c>
      <c r="I74" s="196">
        <v>0</v>
      </c>
      <c r="J74" s="196"/>
      <c r="K74" s="195">
        <v>0</v>
      </c>
      <c r="L74" s="183"/>
      <c r="M74" s="197">
        <v>19950.8</v>
      </c>
      <c r="N74" s="197">
        <v>67065.39</v>
      </c>
      <c r="O74" s="196">
        <v>4370.1000000000004</v>
      </c>
      <c r="P74" s="196">
        <v>4370.1000000000004</v>
      </c>
      <c r="Q74" s="195">
        <v>0</v>
      </c>
    </row>
    <row r="75" spans="2:17" hidden="1" outlineLevel="1" x14ac:dyDescent="0.3">
      <c r="B75" s="252"/>
      <c r="C75" s="190"/>
      <c r="D75" s="190"/>
      <c r="E75" s="190"/>
      <c r="F75" s="255" t="s">
        <v>236</v>
      </c>
      <c r="G75" s="196">
        <v>0</v>
      </c>
      <c r="H75" s="196">
        <v>0</v>
      </c>
      <c r="I75" s="196">
        <v>0</v>
      </c>
      <c r="J75" s="196"/>
      <c r="K75" s="195">
        <v>0</v>
      </c>
      <c r="L75" s="183"/>
      <c r="M75" s="197">
        <v>0</v>
      </c>
      <c r="N75" s="197">
        <v>0</v>
      </c>
      <c r="O75" s="196">
        <v>0</v>
      </c>
      <c r="P75" s="196">
        <v>0</v>
      </c>
      <c r="Q75" s="195">
        <v>0</v>
      </c>
    </row>
    <row r="76" spans="2:17" hidden="1" outlineLevel="1" x14ac:dyDescent="0.3">
      <c r="B76" s="252"/>
      <c r="C76" s="190"/>
      <c r="D76" s="190"/>
      <c r="E76" s="190"/>
      <c r="F76" s="255" t="s">
        <v>179</v>
      </c>
      <c r="G76" s="196">
        <v>0</v>
      </c>
      <c r="H76" s="196">
        <v>0</v>
      </c>
      <c r="I76" s="196">
        <v>0</v>
      </c>
      <c r="J76" s="196"/>
      <c r="K76" s="195">
        <v>0</v>
      </c>
      <c r="L76" s="183"/>
      <c r="M76" s="197">
        <v>0</v>
      </c>
      <c r="N76" s="197">
        <v>103519.43</v>
      </c>
      <c r="O76" s="196">
        <v>16494.330000000002</v>
      </c>
      <c r="P76" s="196">
        <v>16494.330000000002</v>
      </c>
      <c r="Q76" s="195">
        <v>0</v>
      </c>
    </row>
    <row r="77" spans="2:17" hidden="1" outlineLevel="1" x14ac:dyDescent="0.3">
      <c r="B77" s="252"/>
      <c r="C77" s="190"/>
      <c r="D77" s="190"/>
      <c r="E77" s="190"/>
      <c r="F77" s="255" t="s">
        <v>235</v>
      </c>
      <c r="G77" s="196">
        <v>0</v>
      </c>
      <c r="H77" s="196">
        <v>0</v>
      </c>
      <c r="I77" s="196">
        <v>0</v>
      </c>
      <c r="J77" s="196"/>
      <c r="K77" s="195">
        <v>0</v>
      </c>
      <c r="L77" s="183"/>
      <c r="M77" s="197">
        <v>0</v>
      </c>
      <c r="N77" s="197">
        <v>477216.65</v>
      </c>
      <c r="O77" s="196">
        <v>0</v>
      </c>
      <c r="P77" s="196">
        <v>0</v>
      </c>
      <c r="Q77" s="195">
        <v>0</v>
      </c>
    </row>
    <row r="78" spans="2:17" collapsed="1" x14ac:dyDescent="0.3">
      <c r="B78" s="252"/>
      <c r="C78" s="190"/>
      <c r="D78" s="190"/>
      <c r="E78" s="190" t="s">
        <v>180</v>
      </c>
      <c r="F78" s="255"/>
      <c r="G78" s="196">
        <f>ROUND(SUM(G74:G77),5)</f>
        <v>0</v>
      </c>
      <c r="H78" s="196">
        <f>ROUND(SUM(H74:H77),5)</f>
        <v>0</v>
      </c>
      <c r="I78" s="196">
        <f>ROUND(SUM(I74:I77),5)</f>
        <v>0</v>
      </c>
      <c r="J78" s="196"/>
      <c r="K78" s="195">
        <f>ROUND(SUM(K74:K77),5)</f>
        <v>0</v>
      </c>
      <c r="L78" s="183"/>
      <c r="M78" s="197">
        <f>ROUND(SUM(M74:M77),5)</f>
        <v>19950.8</v>
      </c>
      <c r="N78" s="197">
        <f>ROUND(SUM(N74:N77),5)</f>
        <v>647801.47</v>
      </c>
      <c r="O78" s="196">
        <f>ROUND(SUM(O74:O77),5)</f>
        <v>20864.43</v>
      </c>
      <c r="P78" s="196">
        <v>0</v>
      </c>
      <c r="Q78" s="195">
        <f>ROUND(SUM(Q74:Q77),5)</f>
        <v>0</v>
      </c>
    </row>
    <row r="79" spans="2:17" s="184" customFormat="1" x14ac:dyDescent="0.3">
      <c r="B79" s="250"/>
      <c r="C79" s="194"/>
      <c r="D79" s="194" t="s">
        <v>82</v>
      </c>
      <c r="E79" s="238"/>
      <c r="F79" s="256"/>
      <c r="G79" s="241">
        <f>ROUND(G18+G67+G72+G22+G56+G78+G28+G40+G62+G50+G44,5)</f>
        <v>35885.58</v>
      </c>
      <c r="H79" s="241">
        <f>ROUND(H18+H67+H72+H22+H56+H78+H28+H40+H62+H50+H44,5)</f>
        <v>2661.19</v>
      </c>
      <c r="I79" s="241">
        <f>ROUND(I18+I67+I72+I22+I56+I78+I28+I40+I62+I50+I44,5)</f>
        <v>253.99</v>
      </c>
      <c r="J79" s="241">
        <f>ROUND(J18+J67+J72+J22+J56+J78+J28+J40+J62+J50+J44,5)</f>
        <v>58954</v>
      </c>
      <c r="K79" s="242">
        <f>ROUND(K18+K67+K72+K22+K56+K78+K28+K34+K40+K62+K50+K44,5)</f>
        <v>103000</v>
      </c>
      <c r="L79" s="183"/>
      <c r="M79" s="240">
        <f>ROUND(M18+M67+M72+M22+M56+M78+M28+M40+M62+M50+M44,5)</f>
        <v>102334.19</v>
      </c>
      <c r="N79" s="240">
        <f>ROUND(N18+N67+N72+N22+N56+N78+N28+N40+N62+N50+N44,5)</f>
        <v>651771.35</v>
      </c>
      <c r="O79" s="241">
        <f>ROUND(O18+O67+O72+O22+O56+O78+O28+O40+O62+O50+O44,5)</f>
        <v>24539.88</v>
      </c>
      <c r="P79" s="241">
        <f>ROUND(P18+P67+P72+P22+P56+P78+P28+P40+P62+P50+P44,5)</f>
        <v>50</v>
      </c>
      <c r="Q79" s="242">
        <f>ROUND(Q18+Q67+Q72+Q22+Q56+Q78+Q28+Q34+Q40+Q62+Q50+Q44,5)</f>
        <v>113000</v>
      </c>
    </row>
    <row r="80" spans="2:17" x14ac:dyDescent="0.3">
      <c r="B80" s="252"/>
      <c r="C80" s="190"/>
      <c r="D80" s="190"/>
      <c r="E80" s="190" t="s">
        <v>83</v>
      </c>
      <c r="F80" s="253"/>
      <c r="G80" s="196">
        <v>0</v>
      </c>
      <c r="H80" s="196">
        <v>0</v>
      </c>
      <c r="I80" s="196">
        <v>0</v>
      </c>
      <c r="J80" s="196"/>
      <c r="K80" s="195">
        <v>0</v>
      </c>
      <c r="L80" s="183"/>
      <c r="M80" s="197">
        <v>0</v>
      </c>
      <c r="N80" s="197">
        <v>5926.98</v>
      </c>
      <c r="O80" s="196">
        <v>18337</v>
      </c>
      <c r="P80" s="284">
        <v>5233</v>
      </c>
      <c r="Q80" s="195">
        <v>0</v>
      </c>
    </row>
    <row r="81" spans="2:17" x14ac:dyDescent="0.3">
      <c r="B81" s="252"/>
      <c r="C81" s="190"/>
      <c r="D81" s="190"/>
      <c r="E81" s="190" t="s">
        <v>84</v>
      </c>
      <c r="F81" s="253"/>
      <c r="G81" s="196">
        <v>5190.59</v>
      </c>
      <c r="H81" s="284">
        <v>2926.02</v>
      </c>
      <c r="I81" s="196">
        <v>0</v>
      </c>
      <c r="J81" s="284">
        <f>4066</f>
        <v>4066</v>
      </c>
      <c r="K81" s="195">
        <v>9000</v>
      </c>
      <c r="L81" s="183"/>
      <c r="M81" s="197">
        <v>5760.57</v>
      </c>
      <c r="N81" s="197">
        <v>0</v>
      </c>
      <c r="O81" s="196">
        <v>0</v>
      </c>
      <c r="P81" s="403">
        <v>0</v>
      </c>
      <c r="Q81" s="195">
        <v>3000</v>
      </c>
    </row>
    <row r="82" spans="2:17" ht="13.5" thickBot="1" x14ac:dyDescent="0.35">
      <c r="B82" s="252"/>
      <c r="C82" s="190"/>
      <c r="D82" s="377"/>
      <c r="E82" s="377" t="s">
        <v>396</v>
      </c>
      <c r="F82" s="378"/>
      <c r="G82" s="196"/>
      <c r="H82" s="284"/>
      <c r="I82" s="196"/>
      <c r="J82" s="410"/>
      <c r="K82" s="402"/>
      <c r="L82" s="183"/>
      <c r="M82" s="197"/>
      <c r="N82" s="197"/>
      <c r="O82" s="196"/>
      <c r="P82" s="403">
        <v>20000</v>
      </c>
      <c r="Q82" s="195"/>
    </row>
    <row r="83" spans="2:17" s="184" customFormat="1" ht="13.5" collapsed="1" thickBot="1" x14ac:dyDescent="0.35">
      <c r="B83" s="250"/>
      <c r="C83" s="373" t="s">
        <v>209</v>
      </c>
      <c r="D83" s="374"/>
      <c r="E83" s="375"/>
      <c r="F83" s="376"/>
      <c r="G83" s="192">
        <f>ROUND(SUM(G15:G17)+SUM(G79:G81),5)</f>
        <v>41076.17</v>
      </c>
      <c r="H83" s="337">
        <f>ROUND(SUM(H15:H17)+SUM(H79:H81),5)</f>
        <v>5587.21</v>
      </c>
      <c r="I83" s="192">
        <f>ROUND(SUM(I15:I17)+SUM(I79:I81),5)</f>
        <v>253.99</v>
      </c>
      <c r="J83" s="338">
        <f>ROUND(SUM(J15:J17)+SUM(J79:J81),5)</f>
        <v>63020</v>
      </c>
      <c r="K83" s="336">
        <f>ROUND(SUM(K15:K17)+SUM(K79:K81),5)</f>
        <v>121000</v>
      </c>
      <c r="L83" s="183"/>
      <c r="M83" s="193">
        <f>ROUND(SUM(M15:M17)+SUM(M79:M81),5)</f>
        <v>139057.51999999999</v>
      </c>
      <c r="N83" s="193">
        <f>ROUND(SUM(N15:N17)+SUM(N79:N81),5)</f>
        <v>698299.8</v>
      </c>
      <c r="O83" s="192">
        <f>ROUND(SUM(O15:O17)+SUM(O79:O81),5)</f>
        <v>95243.88</v>
      </c>
      <c r="P83" s="192">
        <f>ROUND(SUM(P15:P17)+SUM(P79:P82),5)</f>
        <v>75519</v>
      </c>
      <c r="Q83" s="262">
        <f>ROUND(SUM(Q15:Q17)+SUM(Q79:Q81),5)</f>
        <v>170000</v>
      </c>
    </row>
    <row r="84" spans="2:17" x14ac:dyDescent="0.3">
      <c r="B84" s="252"/>
      <c r="C84" s="190" t="s">
        <v>208</v>
      </c>
      <c r="D84" s="371"/>
      <c r="E84" s="371"/>
      <c r="F84" s="372"/>
      <c r="G84" s="188">
        <f>ROUND(G13-G83,5)</f>
        <v>8927.83</v>
      </c>
      <c r="H84" s="189">
        <f>ROUND(H13-H83,5)</f>
        <v>24412.79</v>
      </c>
      <c r="I84" s="188">
        <f>ROUND(I13-I83,5)</f>
        <v>39746.01</v>
      </c>
      <c r="J84" s="188">
        <f>ROUND(J13-J83,5)</f>
        <v>-8020</v>
      </c>
      <c r="K84" s="266">
        <f>ROUND(K13-K83,5)</f>
        <v>4000</v>
      </c>
      <c r="L84" s="183"/>
      <c r="M84" s="189">
        <f>ROUND(M13-M83,5)</f>
        <v>-54433.120000000003</v>
      </c>
      <c r="N84" s="197">
        <f>ROUND(N13-N83,5)</f>
        <v>-360239.08</v>
      </c>
      <c r="O84" s="196">
        <f>ROUND(O13-O83,5)</f>
        <v>12928.12</v>
      </c>
      <c r="P84" s="196">
        <f>ROUND(P13-P83,5)</f>
        <v>38081.519999999997</v>
      </c>
      <c r="Q84" s="263">
        <f>ROUND(Q13-Q83,5)</f>
        <v>40205</v>
      </c>
    </row>
    <row r="85" spans="2:17" s="184" customFormat="1" ht="13.5" collapsed="1" thickBot="1" x14ac:dyDescent="0.35">
      <c r="B85" s="257" t="s">
        <v>207</v>
      </c>
      <c r="C85" s="258"/>
      <c r="D85" s="258"/>
      <c r="E85" s="258"/>
      <c r="F85" s="259"/>
      <c r="G85" s="185">
        <f>G5+G84</f>
        <v>210866.83</v>
      </c>
      <c r="H85" s="243">
        <f>H5+H84</f>
        <v>235322.79</v>
      </c>
      <c r="I85" s="244">
        <f>I5+I84</f>
        <v>275069.01</v>
      </c>
      <c r="J85" s="244">
        <f>J5+J84</f>
        <v>267049.01</v>
      </c>
      <c r="K85" s="265">
        <f>K5+K84</f>
        <v>271049.01</v>
      </c>
      <c r="L85" s="196"/>
      <c r="M85" s="185">
        <f>M5+M84</f>
        <v>267797.88</v>
      </c>
      <c r="N85" s="246">
        <f>N5+N84</f>
        <v>-92484.080000000016</v>
      </c>
      <c r="O85" s="247">
        <f>O5+O84</f>
        <v>-76645.88</v>
      </c>
      <c r="P85" s="247">
        <f>P5+P84</f>
        <v>-38564.360000000008</v>
      </c>
      <c r="Q85" s="264">
        <f>Q5+Q84</f>
        <v>1640.6399999999921</v>
      </c>
    </row>
    <row r="87" spans="2:17" collapsed="1" x14ac:dyDescent="0.3">
      <c r="G87" s="183"/>
      <c r="M87" s="183"/>
      <c r="P87" s="401"/>
    </row>
    <row r="88" spans="2:17" collapsed="1" x14ac:dyDescent="0.3"/>
    <row r="90" spans="2:17" s="182" customFormat="1" x14ac:dyDescent="0.3">
      <c r="F90" s="280"/>
      <c r="G90" s="280"/>
      <c r="H90" s="280"/>
      <c r="I90" s="280"/>
      <c r="J90" s="280"/>
      <c r="K90" s="280"/>
      <c r="L90" s="280"/>
      <c r="M90" s="280"/>
      <c r="N90" s="280"/>
      <c r="O90" s="280"/>
      <c r="P90" s="280"/>
      <c r="Q90" s="280"/>
    </row>
  </sheetData>
  <mergeCells count="5">
    <mergeCell ref="G2:K2"/>
    <mergeCell ref="M2:Q2"/>
    <mergeCell ref="B5:F5"/>
    <mergeCell ref="B3:F3"/>
    <mergeCell ref="B2:F2"/>
  </mergeCells>
  <pageMargins left="0.25" right="0.25" top="0.75" bottom="0.75" header="0.3" footer="0.3"/>
  <pageSetup fitToHeight="0" orientation="landscape" r:id="rId1"/>
  <headerFooter scaleWithDoc="0" alignWithMargins="0">
    <oddHeader>&amp;C&amp;"Arial,Bold"&amp;10Capital Funds Budget Worksheet</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P43"/>
  <sheetViews>
    <sheetView workbookViewId="0"/>
  </sheetViews>
  <sheetFormatPr defaultRowHeight="14.5" outlineLevelRow="3" outlineLevelCol="1" x14ac:dyDescent="0.35"/>
  <cols>
    <col min="1" max="6" width="3" style="15" customWidth="1"/>
    <col min="7" max="7" width="27.90625" style="15" customWidth="1"/>
    <col min="8" max="8" width="7" bestFit="1" customWidth="1" outlineLevel="1"/>
    <col min="9" max="9" width="2.36328125" customWidth="1" outlineLevel="1"/>
    <col min="10" max="10" width="7" bestFit="1" customWidth="1" outlineLevel="1"/>
    <col min="11" max="11" width="2.36328125" customWidth="1" outlineLevel="1"/>
    <col min="12" max="12" width="8.453125" bestFit="1" customWidth="1" outlineLevel="1"/>
    <col min="13" max="13" width="2.36328125" customWidth="1" outlineLevel="1"/>
    <col min="14" max="14" width="8.453125" bestFit="1" customWidth="1" outlineLevel="1"/>
    <col min="15" max="15" width="2.36328125" customWidth="1" outlineLevel="1"/>
    <col min="16" max="16" width="7" bestFit="1" customWidth="1" outlineLevel="1"/>
    <col min="17" max="17" width="2.36328125" customWidth="1" outlineLevel="1"/>
    <col min="18" max="18" width="7" bestFit="1" customWidth="1" outlineLevel="1"/>
    <col min="19" max="19" width="2.36328125" customWidth="1" outlineLevel="1"/>
    <col min="20" max="20" width="7" bestFit="1" customWidth="1" outlineLevel="1"/>
    <col min="21" max="21" width="2.36328125" customWidth="1" outlineLevel="1"/>
    <col min="22" max="22" width="8.453125" bestFit="1" customWidth="1" outlineLevel="1"/>
    <col min="23" max="23" width="2.36328125" customWidth="1" outlineLevel="1"/>
    <col min="24" max="24" width="7.90625" bestFit="1" customWidth="1" outlineLevel="1"/>
    <col min="25" max="25" width="2.36328125" customWidth="1" outlineLevel="1"/>
    <col min="26" max="26" width="7" bestFit="1" customWidth="1" outlineLevel="1"/>
    <col min="27" max="27" width="2.36328125" customWidth="1" outlineLevel="1"/>
    <col min="28" max="28" width="7.90625" bestFit="1" customWidth="1" outlineLevel="1"/>
    <col min="29" max="29" width="2.36328125" customWidth="1" outlineLevel="1"/>
    <col min="30" max="30" width="7.90625" bestFit="1" customWidth="1" outlineLevel="1"/>
    <col min="31" max="31" width="2.36328125" customWidth="1" outlineLevel="1"/>
    <col min="32" max="32" width="7.90625" bestFit="1" customWidth="1" outlineLevel="1"/>
    <col min="33" max="33" width="2.36328125" customWidth="1" outlineLevel="1"/>
    <col min="34" max="34" width="8.453125" bestFit="1" customWidth="1" outlineLevel="1"/>
    <col min="35" max="35" width="2.36328125" customWidth="1" outlineLevel="1"/>
    <col min="36" max="36" width="8.453125" bestFit="1" customWidth="1" outlineLevel="1"/>
    <col min="37" max="37" width="2.36328125" customWidth="1" outlineLevel="1"/>
    <col min="38" max="38" width="8.453125" bestFit="1" customWidth="1" outlineLevel="1"/>
    <col min="39" max="39" width="2.36328125" customWidth="1" outlineLevel="1"/>
    <col min="40" max="40" width="8.453125" bestFit="1" customWidth="1" outlineLevel="1"/>
    <col min="41" max="41" width="2.36328125" customWidth="1" outlineLevel="1"/>
    <col min="42" max="42" width="8.453125" bestFit="1" customWidth="1" outlineLevel="1"/>
    <col min="43" max="43" width="2.36328125" customWidth="1" outlineLevel="1"/>
    <col min="44" max="44" width="9.36328125" bestFit="1" customWidth="1" outlineLevel="1"/>
    <col min="45" max="45" width="2.36328125" customWidth="1" outlineLevel="1"/>
    <col min="46" max="46" width="9.36328125" bestFit="1" customWidth="1" outlineLevel="1"/>
    <col min="47" max="47" width="2.36328125" customWidth="1" outlineLevel="1"/>
    <col min="48" max="48" width="9.36328125" bestFit="1" customWidth="1" outlineLevel="1"/>
    <col min="49" max="49" width="2.36328125" customWidth="1" outlineLevel="1"/>
    <col min="50" max="50" width="8.453125" bestFit="1" customWidth="1" outlineLevel="1"/>
    <col min="51" max="51" width="2.36328125" customWidth="1" outlineLevel="1"/>
    <col min="52" max="52" width="7.90625" bestFit="1" customWidth="1" outlineLevel="1"/>
    <col min="53" max="53" width="2.36328125" customWidth="1" outlineLevel="1"/>
    <col min="54" max="54" width="9.36328125" bestFit="1" customWidth="1" outlineLevel="1"/>
    <col min="55" max="55" width="2.36328125" customWidth="1" outlineLevel="1"/>
    <col min="56" max="56" width="7" bestFit="1" customWidth="1" outlineLevel="1"/>
    <col min="57" max="57" width="2.36328125" customWidth="1" outlineLevel="1"/>
    <col min="58" max="58" width="7" bestFit="1" customWidth="1" outlineLevel="1"/>
    <col min="59" max="59" width="2.36328125" customWidth="1" outlineLevel="1"/>
    <col min="60" max="60" width="8.453125" bestFit="1" customWidth="1" outlineLevel="1"/>
    <col min="61" max="61" width="2.36328125" customWidth="1" outlineLevel="1"/>
    <col min="62" max="62" width="7.54296875" bestFit="1" customWidth="1" outlineLevel="1"/>
    <col min="63" max="63" width="2.36328125" customWidth="1" outlineLevel="1"/>
    <col min="64" max="64" width="7" bestFit="1" customWidth="1" outlineLevel="1"/>
    <col min="65" max="65" width="2.36328125" customWidth="1" outlineLevel="1"/>
    <col min="66" max="66" width="7.90625" bestFit="1" customWidth="1" outlineLevel="1"/>
    <col min="67" max="67" width="2.36328125" customWidth="1" outlineLevel="1"/>
    <col min="68" max="68" width="8.6328125" bestFit="1" customWidth="1"/>
  </cols>
  <sheetData>
    <row r="1" spans="1:68" s="19" customFormat="1" ht="15" thickBot="1" x14ac:dyDescent="0.4">
      <c r="A1" s="16"/>
      <c r="B1" s="16"/>
      <c r="C1" s="16"/>
      <c r="D1" s="16"/>
      <c r="E1" s="16"/>
      <c r="F1" s="16"/>
      <c r="G1" s="16"/>
      <c r="H1" s="21" t="s">
        <v>127</v>
      </c>
      <c r="I1" s="18"/>
      <c r="J1" s="21" t="s">
        <v>128</v>
      </c>
      <c r="K1" s="18"/>
      <c r="L1" s="21" t="s">
        <v>129</v>
      </c>
      <c r="M1" s="18"/>
      <c r="N1" s="21" t="s">
        <v>130</v>
      </c>
      <c r="O1" s="18"/>
      <c r="P1" s="21" t="s">
        <v>131</v>
      </c>
      <c r="Q1" s="18"/>
      <c r="R1" s="21" t="s">
        <v>132</v>
      </c>
      <c r="S1" s="18"/>
      <c r="T1" s="21" t="s">
        <v>133</v>
      </c>
      <c r="U1" s="18"/>
      <c r="V1" s="21" t="s">
        <v>134</v>
      </c>
      <c r="W1" s="18"/>
      <c r="X1" s="21" t="s">
        <v>135</v>
      </c>
      <c r="Y1" s="18"/>
      <c r="Z1" s="21" t="s">
        <v>136</v>
      </c>
      <c r="AA1" s="18"/>
      <c r="AB1" s="21" t="s">
        <v>137</v>
      </c>
      <c r="AC1" s="18"/>
      <c r="AD1" s="21" t="s">
        <v>138</v>
      </c>
      <c r="AE1" s="18"/>
      <c r="AF1" s="21" t="s">
        <v>102</v>
      </c>
      <c r="AG1" s="18"/>
      <c r="AH1" s="21" t="s">
        <v>104</v>
      </c>
      <c r="AI1" s="18"/>
      <c r="AJ1" s="21" t="s">
        <v>106</v>
      </c>
      <c r="AK1" s="18"/>
      <c r="AL1" s="21" t="s">
        <v>108</v>
      </c>
      <c r="AM1" s="18"/>
      <c r="AN1" s="21" t="s">
        <v>110</v>
      </c>
      <c r="AO1" s="18"/>
      <c r="AP1" s="21" t="s">
        <v>112</v>
      </c>
      <c r="AQ1" s="18"/>
      <c r="AR1" s="21" t="s">
        <v>114</v>
      </c>
      <c r="AS1" s="18"/>
      <c r="AT1" s="21" t="s">
        <v>116</v>
      </c>
      <c r="AU1" s="18"/>
      <c r="AV1" s="21" t="s">
        <v>118</v>
      </c>
      <c r="AW1" s="18"/>
      <c r="AX1" s="21" t="s">
        <v>120</v>
      </c>
      <c r="AY1" s="18"/>
      <c r="AZ1" s="21" t="s">
        <v>122</v>
      </c>
      <c r="BA1" s="18"/>
      <c r="BB1" s="21" t="s">
        <v>124</v>
      </c>
      <c r="BC1" s="18"/>
      <c r="BD1" s="21" t="s">
        <v>101</v>
      </c>
      <c r="BE1" s="18"/>
      <c r="BF1" s="21" t="s">
        <v>103</v>
      </c>
      <c r="BG1" s="18"/>
      <c r="BH1" s="21" t="s">
        <v>105</v>
      </c>
      <c r="BI1" s="18"/>
      <c r="BJ1" s="21" t="s">
        <v>107</v>
      </c>
      <c r="BK1" s="18"/>
      <c r="BL1" s="21" t="s">
        <v>109</v>
      </c>
      <c r="BM1" s="18"/>
      <c r="BN1" s="21" t="s">
        <v>111</v>
      </c>
      <c r="BO1" s="18"/>
      <c r="BP1" s="21" t="s">
        <v>3</v>
      </c>
    </row>
    <row r="2" spans="1:68" ht="15" thickTop="1" x14ac:dyDescent="0.35">
      <c r="A2" s="2"/>
      <c r="B2" s="2" t="s">
        <v>7</v>
      </c>
      <c r="C2" s="2"/>
      <c r="D2" s="2"/>
      <c r="E2" s="2"/>
      <c r="F2" s="2"/>
      <c r="G2" s="2"/>
      <c r="H2" s="6"/>
      <c r="I2" s="7"/>
      <c r="J2" s="6"/>
      <c r="K2" s="7"/>
      <c r="L2" s="6"/>
      <c r="M2" s="7"/>
      <c r="N2" s="6"/>
      <c r="O2" s="7"/>
      <c r="P2" s="6"/>
      <c r="Q2" s="7"/>
      <c r="R2" s="6"/>
      <c r="S2" s="7"/>
      <c r="T2" s="6"/>
      <c r="U2" s="7"/>
      <c r="V2" s="6"/>
      <c r="W2" s="7"/>
      <c r="X2" s="6"/>
      <c r="Y2" s="7"/>
      <c r="Z2" s="6"/>
      <c r="AA2" s="7"/>
      <c r="AB2" s="6"/>
      <c r="AC2" s="7"/>
      <c r="AD2" s="6"/>
      <c r="AE2" s="7"/>
      <c r="AF2" s="6"/>
      <c r="AG2" s="7"/>
      <c r="AH2" s="6"/>
      <c r="AI2" s="7"/>
      <c r="AJ2" s="6"/>
      <c r="AK2" s="7"/>
      <c r="AL2" s="6"/>
      <c r="AM2" s="7"/>
      <c r="AN2" s="6"/>
      <c r="AO2" s="7"/>
      <c r="AP2" s="6"/>
      <c r="AQ2" s="7"/>
      <c r="AR2" s="6"/>
      <c r="AS2" s="7"/>
      <c r="AT2" s="6"/>
      <c r="AU2" s="7"/>
      <c r="AV2" s="6"/>
      <c r="AW2" s="7"/>
      <c r="AX2" s="6"/>
      <c r="AY2" s="7"/>
      <c r="AZ2" s="6"/>
      <c r="BA2" s="7"/>
      <c r="BB2" s="6"/>
      <c r="BC2" s="7"/>
      <c r="BD2" s="6"/>
      <c r="BE2" s="7"/>
      <c r="BF2" s="6"/>
      <c r="BG2" s="7"/>
      <c r="BH2" s="6"/>
      <c r="BI2" s="7"/>
      <c r="BJ2" s="6"/>
      <c r="BK2" s="7"/>
      <c r="BL2" s="6"/>
      <c r="BM2" s="7"/>
      <c r="BN2" s="6"/>
      <c r="BO2" s="7"/>
      <c r="BP2" s="6"/>
    </row>
    <row r="3" spans="1:68" outlineLevel="1" x14ac:dyDescent="0.35">
      <c r="A3" s="2"/>
      <c r="B3" s="2"/>
      <c r="C3" s="2"/>
      <c r="D3" s="2" t="s">
        <v>8</v>
      </c>
      <c r="E3" s="2"/>
      <c r="F3" s="2"/>
      <c r="G3" s="2"/>
      <c r="H3" s="6"/>
      <c r="I3" s="7"/>
      <c r="J3" s="6"/>
      <c r="K3" s="7"/>
      <c r="L3" s="6"/>
      <c r="M3" s="7"/>
      <c r="N3" s="6"/>
      <c r="O3" s="7"/>
      <c r="P3" s="6"/>
      <c r="Q3" s="7"/>
      <c r="R3" s="6"/>
      <c r="S3" s="7"/>
      <c r="T3" s="6"/>
      <c r="U3" s="7"/>
      <c r="V3" s="6"/>
      <c r="W3" s="7"/>
      <c r="X3" s="6"/>
      <c r="Y3" s="7"/>
      <c r="Z3" s="6"/>
      <c r="AA3" s="7"/>
      <c r="AB3" s="6"/>
      <c r="AC3" s="7"/>
      <c r="AD3" s="6"/>
      <c r="AE3" s="7"/>
      <c r="AF3" s="6"/>
      <c r="AG3" s="7"/>
      <c r="AH3" s="6"/>
      <c r="AI3" s="7"/>
      <c r="AJ3" s="6"/>
      <c r="AK3" s="7"/>
      <c r="AL3" s="6"/>
      <c r="AM3" s="7"/>
      <c r="AN3" s="6"/>
      <c r="AO3" s="7"/>
      <c r="AP3" s="6"/>
      <c r="AQ3" s="7"/>
      <c r="AR3" s="6"/>
      <c r="AS3" s="7"/>
      <c r="AT3" s="6"/>
      <c r="AU3" s="7"/>
      <c r="AV3" s="6"/>
      <c r="AW3" s="7"/>
      <c r="AX3" s="6"/>
      <c r="AY3" s="7"/>
      <c r="AZ3" s="6"/>
      <c r="BA3" s="7"/>
      <c r="BB3" s="6"/>
      <c r="BC3" s="7"/>
      <c r="BD3" s="6"/>
      <c r="BE3" s="7"/>
      <c r="BF3" s="6"/>
      <c r="BG3" s="7"/>
      <c r="BH3" s="6"/>
      <c r="BI3" s="7"/>
      <c r="BJ3" s="6"/>
      <c r="BK3" s="7"/>
      <c r="BL3" s="6"/>
      <c r="BM3" s="7"/>
      <c r="BN3" s="6"/>
      <c r="BO3" s="7"/>
      <c r="BP3" s="6"/>
    </row>
    <row r="4" spans="1:68" outlineLevel="2" x14ac:dyDescent="0.35">
      <c r="A4" s="2"/>
      <c r="B4" s="2"/>
      <c r="C4" s="2"/>
      <c r="D4" s="2"/>
      <c r="E4" s="2" t="s">
        <v>9</v>
      </c>
      <c r="F4" s="2"/>
      <c r="G4" s="2"/>
      <c r="H4" s="6"/>
      <c r="I4" s="7"/>
      <c r="J4" s="6"/>
      <c r="K4" s="7"/>
      <c r="L4" s="6"/>
      <c r="M4" s="7"/>
      <c r="N4" s="6"/>
      <c r="O4" s="7"/>
      <c r="P4" s="6"/>
      <c r="Q4" s="7"/>
      <c r="R4" s="6"/>
      <c r="S4" s="7"/>
      <c r="T4" s="6"/>
      <c r="U4" s="7"/>
      <c r="V4" s="6"/>
      <c r="W4" s="7"/>
      <c r="X4" s="6"/>
      <c r="Y4" s="7"/>
      <c r="Z4" s="6"/>
      <c r="AA4" s="7"/>
      <c r="AB4" s="6"/>
      <c r="AC4" s="7"/>
      <c r="AD4" s="6"/>
      <c r="AE4" s="7"/>
      <c r="AF4" s="6"/>
      <c r="AG4" s="7"/>
      <c r="AH4" s="6"/>
      <c r="AI4" s="7"/>
      <c r="AJ4" s="6"/>
      <c r="AK4" s="7"/>
      <c r="AL4" s="6"/>
      <c r="AM4" s="7"/>
      <c r="AN4" s="6"/>
      <c r="AO4" s="7"/>
      <c r="AP4" s="6"/>
      <c r="AQ4" s="7"/>
      <c r="AR4" s="6"/>
      <c r="AS4" s="7"/>
      <c r="AT4" s="6"/>
      <c r="AU4" s="7"/>
      <c r="AV4" s="6"/>
      <c r="AW4" s="7"/>
      <c r="AX4" s="6"/>
      <c r="AY4" s="7"/>
      <c r="AZ4" s="6"/>
      <c r="BA4" s="7"/>
      <c r="BB4" s="6"/>
      <c r="BC4" s="7"/>
      <c r="BD4" s="6"/>
      <c r="BE4" s="7"/>
      <c r="BF4" s="6"/>
      <c r="BG4" s="7"/>
      <c r="BH4" s="6"/>
      <c r="BI4" s="7"/>
      <c r="BJ4" s="6"/>
      <c r="BK4" s="7"/>
      <c r="BL4" s="6"/>
      <c r="BM4" s="7"/>
      <c r="BN4" s="6"/>
      <c r="BO4" s="7"/>
      <c r="BP4" s="6"/>
    </row>
    <row r="5" spans="1:68" outlineLevel="2" x14ac:dyDescent="0.35">
      <c r="A5" s="2"/>
      <c r="B5" s="2"/>
      <c r="C5" s="2"/>
      <c r="D5" s="2"/>
      <c r="E5" s="2"/>
      <c r="F5" s="2" t="s">
        <v>10</v>
      </c>
      <c r="G5" s="2"/>
      <c r="H5" s="6">
        <v>1241</v>
      </c>
      <c r="I5" s="7"/>
      <c r="J5" s="6">
        <v>1258</v>
      </c>
      <c r="K5" s="7"/>
      <c r="L5" s="6">
        <v>1241</v>
      </c>
      <c r="M5" s="7"/>
      <c r="N5" s="6">
        <v>1241</v>
      </c>
      <c r="O5" s="7"/>
      <c r="P5" s="6">
        <v>1241</v>
      </c>
      <c r="Q5" s="7"/>
      <c r="R5" s="6">
        <v>1241</v>
      </c>
      <c r="S5" s="7"/>
      <c r="T5" s="6">
        <v>1241</v>
      </c>
      <c r="U5" s="7"/>
      <c r="V5" s="6">
        <v>1224</v>
      </c>
      <c r="W5" s="7"/>
      <c r="X5" s="6">
        <v>1224</v>
      </c>
      <c r="Y5" s="7"/>
      <c r="Z5" s="6">
        <v>1224</v>
      </c>
      <c r="AA5" s="7"/>
      <c r="AB5" s="6">
        <v>1224</v>
      </c>
      <c r="AC5" s="7"/>
      <c r="AD5" s="6">
        <v>1207</v>
      </c>
      <c r="AE5" s="7"/>
      <c r="AF5" s="6">
        <v>1207</v>
      </c>
      <c r="AG5" s="7"/>
      <c r="AH5" s="6">
        <v>1190</v>
      </c>
      <c r="AI5" s="7"/>
      <c r="AJ5" s="6">
        <v>1190</v>
      </c>
      <c r="AK5" s="7"/>
      <c r="AL5" s="6">
        <v>1190</v>
      </c>
      <c r="AM5" s="7"/>
      <c r="AN5" s="6">
        <v>1190</v>
      </c>
      <c r="AO5" s="7"/>
      <c r="AP5" s="6">
        <v>1190</v>
      </c>
      <c r="AQ5" s="7"/>
      <c r="AR5" s="6">
        <v>1190</v>
      </c>
      <c r="AS5" s="7"/>
      <c r="AT5" s="6">
        <v>1173</v>
      </c>
      <c r="AU5" s="7"/>
      <c r="AV5" s="6">
        <v>1173</v>
      </c>
      <c r="AW5" s="7"/>
      <c r="AX5" s="6">
        <v>1173</v>
      </c>
      <c r="AY5" s="7"/>
      <c r="AZ5" s="6">
        <v>1173</v>
      </c>
      <c r="BA5" s="7"/>
      <c r="BB5" s="6">
        <v>1173</v>
      </c>
      <c r="BC5" s="7"/>
      <c r="BD5" s="6">
        <v>1173</v>
      </c>
      <c r="BE5" s="7"/>
      <c r="BF5" s="6">
        <v>1139</v>
      </c>
      <c r="BG5" s="7"/>
      <c r="BH5" s="6">
        <v>1122</v>
      </c>
      <c r="BI5" s="7"/>
      <c r="BJ5" s="6">
        <v>1105</v>
      </c>
      <c r="BK5" s="7"/>
      <c r="BL5" s="6">
        <v>1105</v>
      </c>
      <c r="BM5" s="7"/>
      <c r="BN5" s="6">
        <v>1083</v>
      </c>
      <c r="BO5" s="7"/>
      <c r="BP5" s="6">
        <f>ROUND(SUM(H5:BN5),5)</f>
        <v>35746</v>
      </c>
    </row>
    <row r="6" spans="1:68" outlineLevel="2" x14ac:dyDescent="0.35">
      <c r="A6" s="2"/>
      <c r="B6" s="2"/>
      <c r="C6" s="2"/>
      <c r="D6" s="2"/>
      <c r="E6" s="2"/>
      <c r="F6" s="2" t="s">
        <v>13</v>
      </c>
      <c r="G6" s="2"/>
      <c r="H6" s="6">
        <v>49.23</v>
      </c>
      <c r="I6" s="7"/>
      <c r="J6" s="6">
        <v>50.1</v>
      </c>
      <c r="K6" s="7"/>
      <c r="L6" s="6">
        <v>60.18</v>
      </c>
      <c r="M6" s="7"/>
      <c r="N6" s="6">
        <v>45.45</v>
      </c>
      <c r="O6" s="7"/>
      <c r="P6" s="6">
        <v>45.7</v>
      </c>
      <c r="Q6" s="7"/>
      <c r="R6" s="6">
        <v>49.56</v>
      </c>
      <c r="S6" s="7"/>
      <c r="T6" s="6">
        <v>49.15</v>
      </c>
      <c r="U6" s="7"/>
      <c r="V6" s="6">
        <v>23.65</v>
      </c>
      <c r="W6" s="7"/>
      <c r="X6" s="6">
        <v>24.41</v>
      </c>
      <c r="Y6" s="7"/>
      <c r="Z6" s="6">
        <v>0</v>
      </c>
      <c r="AA6" s="7"/>
      <c r="AB6" s="6">
        <v>0</v>
      </c>
      <c r="AC6" s="7"/>
      <c r="AD6" s="6">
        <v>0</v>
      </c>
      <c r="AE6" s="7"/>
      <c r="AF6" s="6">
        <v>0</v>
      </c>
      <c r="AG6" s="7"/>
      <c r="AH6" s="6">
        <v>0</v>
      </c>
      <c r="AI6" s="7"/>
      <c r="AJ6" s="6">
        <v>0</v>
      </c>
      <c r="AK6" s="7"/>
      <c r="AL6" s="6">
        <v>0</v>
      </c>
      <c r="AM6" s="7"/>
      <c r="AN6" s="6">
        <v>0</v>
      </c>
      <c r="AO6" s="7"/>
      <c r="AP6" s="6">
        <v>0</v>
      </c>
      <c r="AQ6" s="7"/>
      <c r="AR6" s="6">
        <v>0</v>
      </c>
      <c r="AS6" s="7"/>
      <c r="AT6" s="6">
        <v>0</v>
      </c>
      <c r="AU6" s="7"/>
      <c r="AV6" s="6">
        <v>0</v>
      </c>
      <c r="AW6" s="7"/>
      <c r="AX6" s="6">
        <v>0</v>
      </c>
      <c r="AY6" s="7"/>
      <c r="AZ6" s="6">
        <v>28.23</v>
      </c>
      <c r="BA6" s="7"/>
      <c r="BB6" s="6">
        <v>8.57</v>
      </c>
      <c r="BC6" s="7"/>
      <c r="BD6" s="6">
        <v>10</v>
      </c>
      <c r="BE6" s="7"/>
      <c r="BF6" s="6">
        <v>10.44</v>
      </c>
      <c r="BG6" s="7"/>
      <c r="BH6" s="6">
        <v>10.82</v>
      </c>
      <c r="BI6" s="7"/>
      <c r="BJ6" s="6">
        <v>11.73</v>
      </c>
      <c r="BK6" s="7"/>
      <c r="BL6" s="6">
        <v>11.94</v>
      </c>
      <c r="BM6" s="7"/>
      <c r="BN6" s="6">
        <v>12.45</v>
      </c>
      <c r="BO6" s="7"/>
      <c r="BP6" s="6">
        <f>ROUND(SUM(H6:BN6),5)</f>
        <v>501.61</v>
      </c>
    </row>
    <row r="7" spans="1:68" ht="15" outlineLevel="2" thickBot="1" x14ac:dyDescent="0.4">
      <c r="A7" s="2"/>
      <c r="B7" s="2"/>
      <c r="C7" s="2"/>
      <c r="D7" s="2"/>
      <c r="E7" s="2"/>
      <c r="F7" s="2" t="s">
        <v>14</v>
      </c>
      <c r="G7" s="2"/>
      <c r="H7" s="9">
        <v>74.739999999999995</v>
      </c>
      <c r="I7" s="7"/>
      <c r="J7" s="9">
        <v>64.73</v>
      </c>
      <c r="K7" s="7"/>
      <c r="L7" s="9">
        <v>71.33</v>
      </c>
      <c r="M7" s="7"/>
      <c r="N7" s="9">
        <v>63.07</v>
      </c>
      <c r="O7" s="7"/>
      <c r="P7" s="9">
        <v>58.71</v>
      </c>
      <c r="Q7" s="7"/>
      <c r="R7" s="9">
        <v>63.54</v>
      </c>
      <c r="S7" s="7"/>
      <c r="T7" s="9">
        <v>65.52</v>
      </c>
      <c r="U7" s="7"/>
      <c r="V7" s="9">
        <v>46.7</v>
      </c>
      <c r="W7" s="7"/>
      <c r="X7" s="9">
        <v>53.26</v>
      </c>
      <c r="Y7" s="7"/>
      <c r="Z7" s="9">
        <v>0</v>
      </c>
      <c r="AA7" s="7"/>
      <c r="AB7" s="9">
        <v>0</v>
      </c>
      <c r="AC7" s="7"/>
      <c r="AD7" s="9">
        <v>0</v>
      </c>
      <c r="AE7" s="7"/>
      <c r="AF7" s="9">
        <v>0</v>
      </c>
      <c r="AG7" s="7"/>
      <c r="AH7" s="9">
        <v>0</v>
      </c>
      <c r="AI7" s="7"/>
      <c r="AJ7" s="9">
        <v>0</v>
      </c>
      <c r="AK7" s="7"/>
      <c r="AL7" s="9">
        <v>0</v>
      </c>
      <c r="AM7" s="7"/>
      <c r="AN7" s="9">
        <v>0</v>
      </c>
      <c r="AO7" s="7"/>
      <c r="AP7" s="9">
        <v>0</v>
      </c>
      <c r="AQ7" s="7"/>
      <c r="AR7" s="9">
        <v>0</v>
      </c>
      <c r="AS7" s="7"/>
      <c r="AT7" s="9">
        <v>0</v>
      </c>
      <c r="AU7" s="7"/>
      <c r="AV7" s="9">
        <v>0</v>
      </c>
      <c r="AW7" s="7"/>
      <c r="AX7" s="9">
        <v>0</v>
      </c>
      <c r="AY7" s="7"/>
      <c r="AZ7" s="9">
        <v>49.19</v>
      </c>
      <c r="BA7" s="7"/>
      <c r="BB7" s="9">
        <v>37.67</v>
      </c>
      <c r="BC7" s="7"/>
      <c r="BD7" s="9">
        <v>40.19</v>
      </c>
      <c r="BE7" s="7"/>
      <c r="BF7" s="9">
        <v>37.17</v>
      </c>
      <c r="BG7" s="7"/>
      <c r="BH7" s="9">
        <v>36.81</v>
      </c>
      <c r="BI7" s="7"/>
      <c r="BJ7" s="9">
        <v>40.56</v>
      </c>
      <c r="BK7" s="7"/>
      <c r="BL7" s="9">
        <v>39.619999999999997</v>
      </c>
      <c r="BM7" s="7"/>
      <c r="BN7" s="9">
        <v>40.65</v>
      </c>
      <c r="BO7" s="7"/>
      <c r="BP7" s="9">
        <f>ROUND(SUM(H7:BN7),5)</f>
        <v>883.46</v>
      </c>
    </row>
    <row r="8" spans="1:68" outlineLevel="1" x14ac:dyDescent="0.35">
      <c r="A8" s="2"/>
      <c r="B8" s="2"/>
      <c r="C8" s="2"/>
      <c r="D8" s="2"/>
      <c r="E8" s="2" t="s">
        <v>15</v>
      </c>
      <c r="F8" s="2"/>
      <c r="G8" s="2"/>
      <c r="H8" s="6">
        <f>ROUND(SUM(H4:H7),5)</f>
        <v>1364.97</v>
      </c>
      <c r="I8" s="7"/>
      <c r="J8" s="6">
        <f>ROUND(SUM(J4:J7),5)</f>
        <v>1372.83</v>
      </c>
      <c r="K8" s="7"/>
      <c r="L8" s="6">
        <f>ROUND(SUM(L4:L7),5)</f>
        <v>1372.51</v>
      </c>
      <c r="M8" s="7"/>
      <c r="N8" s="6">
        <f>ROUND(SUM(N4:N7),5)</f>
        <v>1349.52</v>
      </c>
      <c r="O8" s="7"/>
      <c r="P8" s="6">
        <f>ROUND(SUM(P4:P7),5)</f>
        <v>1345.41</v>
      </c>
      <c r="Q8" s="7"/>
      <c r="R8" s="6">
        <f>ROUND(SUM(R4:R7),5)</f>
        <v>1354.1</v>
      </c>
      <c r="S8" s="7"/>
      <c r="T8" s="6">
        <f>ROUND(SUM(T4:T7),5)</f>
        <v>1355.67</v>
      </c>
      <c r="U8" s="7"/>
      <c r="V8" s="6">
        <f>ROUND(SUM(V4:V7),5)</f>
        <v>1294.3499999999999</v>
      </c>
      <c r="W8" s="7"/>
      <c r="X8" s="6">
        <f>ROUND(SUM(X4:X7),5)</f>
        <v>1301.67</v>
      </c>
      <c r="Y8" s="7"/>
      <c r="Z8" s="6">
        <f>ROUND(SUM(Z4:Z7),5)</f>
        <v>1224</v>
      </c>
      <c r="AA8" s="7"/>
      <c r="AB8" s="6">
        <f>ROUND(SUM(AB4:AB7),5)</f>
        <v>1224</v>
      </c>
      <c r="AC8" s="7"/>
      <c r="AD8" s="6">
        <f>ROUND(SUM(AD4:AD7),5)</f>
        <v>1207</v>
      </c>
      <c r="AE8" s="7"/>
      <c r="AF8" s="6">
        <f>ROUND(SUM(AF4:AF7),5)</f>
        <v>1207</v>
      </c>
      <c r="AG8" s="7"/>
      <c r="AH8" s="6">
        <f>ROUND(SUM(AH4:AH7),5)</f>
        <v>1190</v>
      </c>
      <c r="AI8" s="7"/>
      <c r="AJ8" s="6">
        <f>ROUND(SUM(AJ4:AJ7),5)</f>
        <v>1190</v>
      </c>
      <c r="AK8" s="7"/>
      <c r="AL8" s="6">
        <f>ROUND(SUM(AL4:AL7),5)</f>
        <v>1190</v>
      </c>
      <c r="AM8" s="7"/>
      <c r="AN8" s="6">
        <f>ROUND(SUM(AN4:AN7),5)</f>
        <v>1190</v>
      </c>
      <c r="AO8" s="7"/>
      <c r="AP8" s="6">
        <f>ROUND(SUM(AP4:AP7),5)</f>
        <v>1190</v>
      </c>
      <c r="AQ8" s="7"/>
      <c r="AR8" s="6">
        <f>ROUND(SUM(AR4:AR7),5)</f>
        <v>1190</v>
      </c>
      <c r="AS8" s="7"/>
      <c r="AT8" s="6">
        <f>ROUND(SUM(AT4:AT7),5)</f>
        <v>1173</v>
      </c>
      <c r="AU8" s="7"/>
      <c r="AV8" s="6">
        <f>ROUND(SUM(AV4:AV7),5)</f>
        <v>1173</v>
      </c>
      <c r="AW8" s="7"/>
      <c r="AX8" s="6">
        <f>ROUND(SUM(AX4:AX7),5)</f>
        <v>1173</v>
      </c>
      <c r="AY8" s="7"/>
      <c r="AZ8" s="6">
        <f>ROUND(SUM(AZ4:AZ7),5)</f>
        <v>1250.42</v>
      </c>
      <c r="BA8" s="7"/>
      <c r="BB8" s="6">
        <f>ROUND(SUM(BB4:BB7),5)</f>
        <v>1219.24</v>
      </c>
      <c r="BC8" s="7"/>
      <c r="BD8" s="6">
        <f>ROUND(SUM(BD4:BD7),5)</f>
        <v>1223.19</v>
      </c>
      <c r="BE8" s="7"/>
      <c r="BF8" s="6">
        <f>ROUND(SUM(BF4:BF7),5)</f>
        <v>1186.6099999999999</v>
      </c>
      <c r="BG8" s="7"/>
      <c r="BH8" s="6">
        <f>ROUND(SUM(BH4:BH7),5)</f>
        <v>1169.6300000000001</v>
      </c>
      <c r="BI8" s="7"/>
      <c r="BJ8" s="6">
        <f>ROUND(SUM(BJ4:BJ7),5)</f>
        <v>1157.29</v>
      </c>
      <c r="BK8" s="7"/>
      <c r="BL8" s="6">
        <f>ROUND(SUM(BL4:BL7),5)</f>
        <v>1156.56</v>
      </c>
      <c r="BM8" s="7"/>
      <c r="BN8" s="6">
        <f>ROUND(SUM(BN4:BN7),5)</f>
        <v>1136.0999999999999</v>
      </c>
      <c r="BO8" s="7"/>
      <c r="BP8" s="6">
        <f>ROUND(SUM(H8:BN8),5)</f>
        <v>37131.07</v>
      </c>
    </row>
    <row r="9" spans="1:68" outlineLevel="2" x14ac:dyDescent="0.35">
      <c r="A9" s="2"/>
      <c r="B9" s="2"/>
      <c r="C9" s="2"/>
      <c r="D9" s="2"/>
      <c r="E9" s="2" t="s">
        <v>16</v>
      </c>
      <c r="F9" s="2"/>
      <c r="G9" s="2"/>
      <c r="H9" s="6"/>
      <c r="I9" s="7"/>
      <c r="J9" s="6"/>
      <c r="K9" s="7"/>
      <c r="L9" s="6"/>
      <c r="M9" s="7"/>
      <c r="N9" s="6"/>
      <c r="O9" s="7"/>
      <c r="P9" s="6"/>
      <c r="Q9" s="7"/>
      <c r="R9" s="6"/>
      <c r="S9" s="7"/>
      <c r="T9" s="6"/>
      <c r="U9" s="7"/>
      <c r="V9" s="6"/>
      <c r="W9" s="7"/>
      <c r="X9" s="6"/>
      <c r="Y9" s="7"/>
      <c r="Z9" s="6"/>
      <c r="AA9" s="7"/>
      <c r="AB9" s="6"/>
      <c r="AC9" s="7"/>
      <c r="AD9" s="6"/>
      <c r="AE9" s="7"/>
      <c r="AF9" s="6"/>
      <c r="AG9" s="7"/>
      <c r="AH9" s="6"/>
      <c r="AI9" s="7"/>
      <c r="AJ9" s="6"/>
      <c r="AK9" s="7"/>
      <c r="AL9" s="6"/>
      <c r="AM9" s="7"/>
      <c r="AN9" s="6"/>
      <c r="AO9" s="7"/>
      <c r="AP9" s="6"/>
      <c r="AQ9" s="7"/>
      <c r="AR9" s="6"/>
      <c r="AS9" s="7"/>
      <c r="AT9" s="6"/>
      <c r="AU9" s="7"/>
      <c r="AV9" s="6"/>
      <c r="AW9" s="7"/>
      <c r="AX9" s="6"/>
      <c r="AY9" s="7"/>
      <c r="AZ9" s="6"/>
      <c r="BA9" s="7"/>
      <c r="BB9" s="6"/>
      <c r="BC9" s="7"/>
      <c r="BD9" s="6"/>
      <c r="BE9" s="7"/>
      <c r="BF9" s="6"/>
      <c r="BG9" s="7"/>
      <c r="BH9" s="6"/>
      <c r="BI9" s="7"/>
      <c r="BJ9" s="6"/>
      <c r="BK9" s="7"/>
      <c r="BL9" s="6"/>
      <c r="BM9" s="7"/>
      <c r="BN9" s="6"/>
      <c r="BO9" s="7"/>
      <c r="BP9" s="6"/>
    </row>
    <row r="10" spans="1:68" outlineLevel="2" x14ac:dyDescent="0.35">
      <c r="A10" s="2"/>
      <c r="B10" s="2"/>
      <c r="C10" s="2"/>
      <c r="D10" s="2"/>
      <c r="E10" s="2"/>
      <c r="F10" s="2" t="s">
        <v>17</v>
      </c>
      <c r="G10" s="2"/>
      <c r="H10" s="6">
        <v>12</v>
      </c>
      <c r="I10" s="7"/>
      <c r="J10" s="6">
        <v>12</v>
      </c>
      <c r="K10" s="7"/>
      <c r="L10" s="6">
        <v>12</v>
      </c>
      <c r="M10" s="7"/>
      <c r="N10" s="6">
        <v>12</v>
      </c>
      <c r="O10" s="7"/>
      <c r="P10" s="6">
        <v>12</v>
      </c>
      <c r="Q10" s="7"/>
      <c r="R10" s="6">
        <v>12</v>
      </c>
      <c r="S10" s="7"/>
      <c r="T10" s="6">
        <v>12</v>
      </c>
      <c r="U10" s="7"/>
      <c r="V10" s="6">
        <v>12</v>
      </c>
      <c r="W10" s="7"/>
      <c r="X10" s="6">
        <v>12</v>
      </c>
      <c r="Y10" s="7"/>
      <c r="Z10" s="6">
        <v>12</v>
      </c>
      <c r="AA10" s="7"/>
      <c r="AB10" s="6">
        <v>12</v>
      </c>
      <c r="AC10" s="7"/>
      <c r="AD10" s="6">
        <v>12</v>
      </c>
      <c r="AE10" s="7"/>
      <c r="AF10" s="6">
        <v>12</v>
      </c>
      <c r="AG10" s="7"/>
      <c r="AH10" s="6">
        <v>12</v>
      </c>
      <c r="AI10" s="7"/>
      <c r="AJ10" s="6">
        <v>12</v>
      </c>
      <c r="AK10" s="7"/>
      <c r="AL10" s="6">
        <v>12</v>
      </c>
      <c r="AM10" s="7"/>
      <c r="AN10" s="6">
        <v>12</v>
      </c>
      <c r="AO10" s="7"/>
      <c r="AP10" s="6">
        <v>12</v>
      </c>
      <c r="AQ10" s="7"/>
      <c r="AR10" s="6">
        <v>12</v>
      </c>
      <c r="AS10" s="7"/>
      <c r="AT10" s="6">
        <v>12</v>
      </c>
      <c r="AU10" s="7"/>
      <c r="AV10" s="6">
        <v>12</v>
      </c>
      <c r="AW10" s="7"/>
      <c r="AX10" s="6">
        <v>12</v>
      </c>
      <c r="AY10" s="7"/>
      <c r="AZ10" s="6">
        <v>12</v>
      </c>
      <c r="BA10" s="7"/>
      <c r="BB10" s="6">
        <v>12</v>
      </c>
      <c r="BC10" s="7"/>
      <c r="BD10" s="6">
        <v>12</v>
      </c>
      <c r="BE10" s="7"/>
      <c r="BF10" s="6">
        <v>12</v>
      </c>
      <c r="BG10" s="7"/>
      <c r="BH10" s="6">
        <v>12</v>
      </c>
      <c r="BI10" s="7"/>
      <c r="BJ10" s="6">
        <v>12</v>
      </c>
      <c r="BK10" s="7"/>
      <c r="BL10" s="6">
        <v>12</v>
      </c>
      <c r="BM10" s="7"/>
      <c r="BN10" s="6">
        <v>12</v>
      </c>
      <c r="BO10" s="7"/>
      <c r="BP10" s="6">
        <f>ROUND(SUM(H10:BN10),5)</f>
        <v>360</v>
      </c>
    </row>
    <row r="11" spans="1:68" ht="15" outlineLevel="2" thickBot="1" x14ac:dyDescent="0.4">
      <c r="A11" s="2"/>
      <c r="B11" s="2"/>
      <c r="C11" s="2"/>
      <c r="D11" s="2"/>
      <c r="E11" s="2"/>
      <c r="F11" s="2" t="s">
        <v>18</v>
      </c>
      <c r="G11" s="2"/>
      <c r="H11" s="9">
        <v>5628</v>
      </c>
      <c r="I11" s="7"/>
      <c r="J11" s="9">
        <v>5628</v>
      </c>
      <c r="K11" s="7"/>
      <c r="L11" s="9">
        <v>5628</v>
      </c>
      <c r="M11" s="7"/>
      <c r="N11" s="9">
        <v>5616</v>
      </c>
      <c r="O11" s="7"/>
      <c r="P11" s="9">
        <v>5616</v>
      </c>
      <c r="Q11" s="7"/>
      <c r="R11" s="9">
        <v>5628</v>
      </c>
      <c r="S11" s="7"/>
      <c r="T11" s="9">
        <v>5628</v>
      </c>
      <c r="U11" s="7"/>
      <c r="V11" s="9">
        <v>6012</v>
      </c>
      <c r="W11" s="7"/>
      <c r="X11" s="9">
        <v>5628</v>
      </c>
      <c r="Y11" s="7"/>
      <c r="Z11" s="9">
        <v>5628</v>
      </c>
      <c r="AA11" s="7"/>
      <c r="AB11" s="9">
        <v>5628</v>
      </c>
      <c r="AC11" s="7"/>
      <c r="AD11" s="9">
        <v>5628</v>
      </c>
      <c r="AE11" s="7"/>
      <c r="AF11" s="9">
        <v>5628</v>
      </c>
      <c r="AG11" s="7"/>
      <c r="AH11" s="9">
        <v>5628</v>
      </c>
      <c r="AI11" s="7"/>
      <c r="AJ11" s="9">
        <v>5628</v>
      </c>
      <c r="AK11" s="7"/>
      <c r="AL11" s="9">
        <v>5628</v>
      </c>
      <c r="AM11" s="7"/>
      <c r="AN11" s="9">
        <v>5628</v>
      </c>
      <c r="AO11" s="7"/>
      <c r="AP11" s="9">
        <v>5628</v>
      </c>
      <c r="AQ11" s="7"/>
      <c r="AR11" s="9">
        <v>5628</v>
      </c>
      <c r="AS11" s="7"/>
      <c r="AT11" s="9">
        <v>5628</v>
      </c>
      <c r="AU11" s="7"/>
      <c r="AV11" s="9">
        <v>5628</v>
      </c>
      <c r="AW11" s="7"/>
      <c r="AX11" s="9">
        <v>5628</v>
      </c>
      <c r="AY11" s="7"/>
      <c r="AZ11" s="9">
        <v>5628</v>
      </c>
      <c r="BA11" s="7"/>
      <c r="BB11" s="9">
        <v>5628</v>
      </c>
      <c r="BC11" s="7"/>
      <c r="BD11" s="9">
        <v>5628</v>
      </c>
      <c r="BE11" s="7"/>
      <c r="BF11" s="9">
        <v>5628</v>
      </c>
      <c r="BG11" s="7"/>
      <c r="BH11" s="9">
        <v>5628</v>
      </c>
      <c r="BI11" s="7"/>
      <c r="BJ11" s="9">
        <v>5628</v>
      </c>
      <c r="BK11" s="7"/>
      <c r="BL11" s="9">
        <v>5628</v>
      </c>
      <c r="BM11" s="7"/>
      <c r="BN11" s="9">
        <v>5628</v>
      </c>
      <c r="BO11" s="7"/>
      <c r="BP11" s="9">
        <f>ROUND(SUM(H11:BN11),5)</f>
        <v>169200</v>
      </c>
    </row>
    <row r="12" spans="1:68" outlineLevel="1" x14ac:dyDescent="0.35">
      <c r="A12" s="2"/>
      <c r="B12" s="2"/>
      <c r="C12" s="2"/>
      <c r="D12" s="2"/>
      <c r="E12" s="2" t="s">
        <v>19</v>
      </c>
      <c r="F12" s="2"/>
      <c r="G12" s="2"/>
      <c r="H12" s="6">
        <f>ROUND(SUM(H9:H11),5)</f>
        <v>5640</v>
      </c>
      <c r="I12" s="7"/>
      <c r="J12" s="6">
        <f>ROUND(SUM(J9:J11),5)</f>
        <v>5640</v>
      </c>
      <c r="K12" s="7"/>
      <c r="L12" s="6">
        <f>ROUND(SUM(L9:L11),5)</f>
        <v>5640</v>
      </c>
      <c r="M12" s="7"/>
      <c r="N12" s="6">
        <f>ROUND(SUM(N9:N11),5)</f>
        <v>5628</v>
      </c>
      <c r="O12" s="7"/>
      <c r="P12" s="6">
        <f>ROUND(SUM(P9:P11),5)</f>
        <v>5628</v>
      </c>
      <c r="Q12" s="7"/>
      <c r="R12" s="6">
        <f>ROUND(SUM(R9:R11),5)</f>
        <v>5640</v>
      </c>
      <c r="S12" s="7"/>
      <c r="T12" s="6">
        <f>ROUND(SUM(T9:T11),5)</f>
        <v>5640</v>
      </c>
      <c r="U12" s="7"/>
      <c r="V12" s="6">
        <f>ROUND(SUM(V9:V11),5)</f>
        <v>6024</v>
      </c>
      <c r="W12" s="7"/>
      <c r="X12" s="6">
        <f>ROUND(SUM(X9:X11),5)</f>
        <v>5640</v>
      </c>
      <c r="Y12" s="7"/>
      <c r="Z12" s="6">
        <f>ROUND(SUM(Z9:Z11),5)</f>
        <v>5640</v>
      </c>
      <c r="AA12" s="7"/>
      <c r="AB12" s="6">
        <f>ROUND(SUM(AB9:AB11),5)</f>
        <v>5640</v>
      </c>
      <c r="AC12" s="7"/>
      <c r="AD12" s="6">
        <f>ROUND(SUM(AD9:AD11),5)</f>
        <v>5640</v>
      </c>
      <c r="AE12" s="7"/>
      <c r="AF12" s="6">
        <f>ROUND(SUM(AF9:AF11),5)</f>
        <v>5640</v>
      </c>
      <c r="AG12" s="7"/>
      <c r="AH12" s="6">
        <f>ROUND(SUM(AH9:AH11),5)</f>
        <v>5640</v>
      </c>
      <c r="AI12" s="7"/>
      <c r="AJ12" s="6">
        <f>ROUND(SUM(AJ9:AJ11),5)</f>
        <v>5640</v>
      </c>
      <c r="AK12" s="7"/>
      <c r="AL12" s="6">
        <f>ROUND(SUM(AL9:AL11),5)</f>
        <v>5640</v>
      </c>
      <c r="AM12" s="7"/>
      <c r="AN12" s="6">
        <f>ROUND(SUM(AN9:AN11),5)</f>
        <v>5640</v>
      </c>
      <c r="AO12" s="7"/>
      <c r="AP12" s="6">
        <f>ROUND(SUM(AP9:AP11),5)</f>
        <v>5640</v>
      </c>
      <c r="AQ12" s="7"/>
      <c r="AR12" s="6">
        <f>ROUND(SUM(AR9:AR11),5)</f>
        <v>5640</v>
      </c>
      <c r="AS12" s="7"/>
      <c r="AT12" s="6">
        <f>ROUND(SUM(AT9:AT11),5)</f>
        <v>5640</v>
      </c>
      <c r="AU12" s="7"/>
      <c r="AV12" s="6">
        <f>ROUND(SUM(AV9:AV11),5)</f>
        <v>5640</v>
      </c>
      <c r="AW12" s="7"/>
      <c r="AX12" s="6">
        <f>ROUND(SUM(AX9:AX11),5)</f>
        <v>5640</v>
      </c>
      <c r="AY12" s="7"/>
      <c r="AZ12" s="6">
        <f>ROUND(SUM(AZ9:AZ11),5)</f>
        <v>5640</v>
      </c>
      <c r="BA12" s="7"/>
      <c r="BB12" s="6">
        <f>ROUND(SUM(BB9:BB11),5)</f>
        <v>5640</v>
      </c>
      <c r="BC12" s="7"/>
      <c r="BD12" s="6">
        <f>ROUND(SUM(BD9:BD11),5)</f>
        <v>5640</v>
      </c>
      <c r="BE12" s="7"/>
      <c r="BF12" s="6">
        <f>ROUND(SUM(BF9:BF11),5)</f>
        <v>5640</v>
      </c>
      <c r="BG12" s="7"/>
      <c r="BH12" s="6">
        <f>ROUND(SUM(BH9:BH11),5)</f>
        <v>5640</v>
      </c>
      <c r="BI12" s="7"/>
      <c r="BJ12" s="6">
        <f>ROUND(SUM(BJ9:BJ11),5)</f>
        <v>5640</v>
      </c>
      <c r="BK12" s="7"/>
      <c r="BL12" s="6">
        <f>ROUND(SUM(BL9:BL11),5)</f>
        <v>5640</v>
      </c>
      <c r="BM12" s="7"/>
      <c r="BN12" s="6">
        <f>ROUND(SUM(BN9:BN11),5)</f>
        <v>5640</v>
      </c>
      <c r="BO12" s="7"/>
      <c r="BP12" s="6">
        <f>ROUND(SUM(H12:BN12),5)</f>
        <v>169560</v>
      </c>
    </row>
    <row r="13" spans="1:68" outlineLevel="2" x14ac:dyDescent="0.35">
      <c r="A13" s="2"/>
      <c r="B13" s="2"/>
      <c r="C13" s="2"/>
      <c r="D13" s="2"/>
      <c r="E13" s="2" t="s">
        <v>20</v>
      </c>
      <c r="F13" s="2"/>
      <c r="G13" s="2"/>
      <c r="H13" s="6"/>
      <c r="I13" s="7"/>
      <c r="J13" s="6"/>
      <c r="K13" s="7"/>
      <c r="L13" s="6"/>
      <c r="M13" s="7"/>
      <c r="N13" s="6"/>
      <c r="O13" s="7"/>
      <c r="P13" s="6"/>
      <c r="Q13" s="7"/>
      <c r="R13" s="6"/>
      <c r="S13" s="7"/>
      <c r="T13" s="6"/>
      <c r="U13" s="7"/>
      <c r="V13" s="6"/>
      <c r="W13" s="7"/>
      <c r="X13" s="6"/>
      <c r="Y13" s="7"/>
      <c r="Z13" s="6"/>
      <c r="AA13" s="7"/>
      <c r="AB13" s="6"/>
      <c r="AC13" s="7"/>
      <c r="AD13" s="6"/>
      <c r="AE13" s="7"/>
      <c r="AF13" s="6"/>
      <c r="AG13" s="7"/>
      <c r="AH13" s="6"/>
      <c r="AI13" s="7"/>
      <c r="AJ13" s="6"/>
      <c r="AK13" s="7"/>
      <c r="AL13" s="6"/>
      <c r="AM13" s="7"/>
      <c r="AN13" s="6"/>
      <c r="AO13" s="7"/>
      <c r="AP13" s="6"/>
      <c r="AQ13" s="7"/>
      <c r="AR13" s="6"/>
      <c r="AS13" s="7"/>
      <c r="AT13" s="6"/>
      <c r="AU13" s="7"/>
      <c r="AV13" s="6"/>
      <c r="AW13" s="7"/>
      <c r="AX13" s="6"/>
      <c r="AY13" s="7"/>
      <c r="AZ13" s="6"/>
      <c r="BA13" s="7"/>
      <c r="BB13" s="6"/>
      <c r="BC13" s="7"/>
      <c r="BD13" s="6"/>
      <c r="BE13" s="7"/>
      <c r="BF13" s="6"/>
      <c r="BG13" s="7"/>
      <c r="BH13" s="6"/>
      <c r="BI13" s="7"/>
      <c r="BJ13" s="6"/>
      <c r="BK13" s="7"/>
      <c r="BL13" s="6"/>
      <c r="BM13" s="7"/>
      <c r="BN13" s="6"/>
      <c r="BO13" s="7"/>
      <c r="BP13" s="6"/>
    </row>
    <row r="14" spans="1:68" outlineLevel="2" x14ac:dyDescent="0.35">
      <c r="A14" s="2"/>
      <c r="B14" s="2"/>
      <c r="C14" s="2"/>
      <c r="D14" s="2"/>
      <c r="E14" s="2"/>
      <c r="F14" s="2" t="s">
        <v>21</v>
      </c>
      <c r="G14" s="2"/>
      <c r="H14" s="6">
        <v>0</v>
      </c>
      <c r="I14" s="7"/>
      <c r="J14" s="6">
        <v>0</v>
      </c>
      <c r="K14" s="7"/>
      <c r="L14" s="6">
        <v>0</v>
      </c>
      <c r="M14" s="7"/>
      <c r="N14" s="6">
        <v>0</v>
      </c>
      <c r="O14" s="7"/>
      <c r="P14" s="6">
        <v>0</v>
      </c>
      <c r="Q14" s="7"/>
      <c r="R14" s="6">
        <v>0</v>
      </c>
      <c r="S14" s="7"/>
      <c r="T14" s="6">
        <v>0</v>
      </c>
      <c r="U14" s="7"/>
      <c r="V14" s="6">
        <v>0</v>
      </c>
      <c r="W14" s="7"/>
      <c r="X14" s="6">
        <v>0</v>
      </c>
      <c r="Y14" s="7"/>
      <c r="Z14" s="6">
        <v>0</v>
      </c>
      <c r="AA14" s="7"/>
      <c r="AB14" s="6">
        <v>0</v>
      </c>
      <c r="AC14" s="7"/>
      <c r="AD14" s="6">
        <v>0</v>
      </c>
      <c r="AE14" s="7"/>
      <c r="AF14" s="6">
        <v>288</v>
      </c>
      <c r="AG14" s="7"/>
      <c r="AH14" s="6">
        <v>0</v>
      </c>
      <c r="AI14" s="7"/>
      <c r="AJ14" s="6">
        <v>0</v>
      </c>
      <c r="AK14" s="7"/>
      <c r="AL14" s="6">
        <v>0</v>
      </c>
      <c r="AM14" s="7"/>
      <c r="AN14" s="6">
        <v>0</v>
      </c>
      <c r="AO14" s="7"/>
      <c r="AP14" s="6">
        <v>0</v>
      </c>
      <c r="AQ14" s="7"/>
      <c r="AR14" s="6">
        <v>0</v>
      </c>
      <c r="AS14" s="7"/>
      <c r="AT14" s="6">
        <v>0</v>
      </c>
      <c r="AU14" s="7"/>
      <c r="AV14" s="6">
        <v>0</v>
      </c>
      <c r="AW14" s="7"/>
      <c r="AX14" s="6">
        <v>0</v>
      </c>
      <c r="AY14" s="7"/>
      <c r="AZ14" s="6">
        <v>0</v>
      </c>
      <c r="BA14" s="7"/>
      <c r="BB14" s="6">
        <v>0</v>
      </c>
      <c r="BC14" s="7"/>
      <c r="BD14" s="6">
        <v>400</v>
      </c>
      <c r="BE14" s="7"/>
      <c r="BF14" s="6">
        <v>0</v>
      </c>
      <c r="BG14" s="7"/>
      <c r="BH14" s="6">
        <v>-176</v>
      </c>
      <c r="BI14" s="7"/>
      <c r="BJ14" s="6">
        <v>0</v>
      </c>
      <c r="BK14" s="7"/>
      <c r="BL14" s="6">
        <v>200</v>
      </c>
      <c r="BM14" s="7"/>
      <c r="BN14" s="6">
        <v>376</v>
      </c>
      <c r="BO14" s="7"/>
      <c r="BP14" s="6">
        <f t="shared" ref="BP14:BP22" si="0">ROUND(SUM(H14:BN14),5)</f>
        <v>1088</v>
      </c>
    </row>
    <row r="15" spans="1:68" outlineLevel="2" x14ac:dyDescent="0.35">
      <c r="A15" s="2"/>
      <c r="B15" s="2"/>
      <c r="C15" s="2"/>
      <c r="D15" s="2"/>
      <c r="E15" s="2"/>
      <c r="F15" s="2" t="s">
        <v>22</v>
      </c>
      <c r="G15" s="2"/>
      <c r="H15" s="6">
        <v>0</v>
      </c>
      <c r="I15" s="7"/>
      <c r="J15" s="6">
        <v>0</v>
      </c>
      <c r="K15" s="7"/>
      <c r="L15" s="6">
        <v>0</v>
      </c>
      <c r="M15" s="7"/>
      <c r="N15" s="6">
        <v>0</v>
      </c>
      <c r="O15" s="7"/>
      <c r="P15" s="6">
        <v>0</v>
      </c>
      <c r="Q15" s="7"/>
      <c r="R15" s="6">
        <v>0</v>
      </c>
      <c r="S15" s="7"/>
      <c r="T15" s="6">
        <v>0</v>
      </c>
      <c r="U15" s="7"/>
      <c r="V15" s="6">
        <v>0</v>
      </c>
      <c r="W15" s="7"/>
      <c r="X15" s="6">
        <v>0</v>
      </c>
      <c r="Y15" s="7"/>
      <c r="Z15" s="6">
        <v>0</v>
      </c>
      <c r="AA15" s="7"/>
      <c r="AB15" s="6">
        <v>0</v>
      </c>
      <c r="AC15" s="7"/>
      <c r="AD15" s="6">
        <v>0</v>
      </c>
      <c r="AE15" s="7"/>
      <c r="AF15" s="6">
        <v>3390.52</v>
      </c>
      <c r="AG15" s="7"/>
      <c r="AH15" s="6">
        <v>0</v>
      </c>
      <c r="AI15" s="7"/>
      <c r="AJ15" s="6">
        <v>0</v>
      </c>
      <c r="AK15" s="7"/>
      <c r="AL15" s="6">
        <v>0</v>
      </c>
      <c r="AM15" s="7"/>
      <c r="AN15" s="6">
        <v>0</v>
      </c>
      <c r="AO15" s="7"/>
      <c r="AP15" s="6">
        <v>0</v>
      </c>
      <c r="AQ15" s="7"/>
      <c r="AR15" s="6">
        <v>1728.89</v>
      </c>
      <c r="AS15" s="7"/>
      <c r="AT15" s="6">
        <v>0</v>
      </c>
      <c r="AU15" s="7"/>
      <c r="AV15" s="6">
        <v>0</v>
      </c>
      <c r="AW15" s="7"/>
      <c r="AX15" s="6">
        <v>0</v>
      </c>
      <c r="AY15" s="7"/>
      <c r="AZ15" s="6">
        <v>0</v>
      </c>
      <c r="BA15" s="7"/>
      <c r="BB15" s="6">
        <v>0</v>
      </c>
      <c r="BC15" s="7"/>
      <c r="BD15" s="6">
        <v>880.49</v>
      </c>
      <c r="BE15" s="7"/>
      <c r="BF15" s="6">
        <v>0</v>
      </c>
      <c r="BG15" s="7"/>
      <c r="BH15" s="6">
        <v>0</v>
      </c>
      <c r="BI15" s="7"/>
      <c r="BJ15" s="6">
        <v>0</v>
      </c>
      <c r="BK15" s="7"/>
      <c r="BL15" s="6">
        <v>2842.97</v>
      </c>
      <c r="BM15" s="7"/>
      <c r="BN15" s="6">
        <v>4978.8999999999996</v>
      </c>
      <c r="BO15" s="7"/>
      <c r="BP15" s="6">
        <f t="shared" si="0"/>
        <v>13821.77</v>
      </c>
    </row>
    <row r="16" spans="1:68" ht="15" outlineLevel="2" thickBot="1" x14ac:dyDescent="0.4">
      <c r="A16" s="2"/>
      <c r="B16" s="2"/>
      <c r="C16" s="2"/>
      <c r="D16" s="2"/>
      <c r="E16" s="2"/>
      <c r="F16" s="2" t="s">
        <v>23</v>
      </c>
      <c r="G16" s="2"/>
      <c r="H16" s="9">
        <v>0</v>
      </c>
      <c r="I16" s="7"/>
      <c r="J16" s="9">
        <v>0</v>
      </c>
      <c r="K16" s="7"/>
      <c r="L16" s="9">
        <v>0</v>
      </c>
      <c r="M16" s="7"/>
      <c r="N16" s="9">
        <v>0</v>
      </c>
      <c r="O16" s="7"/>
      <c r="P16" s="9">
        <v>0</v>
      </c>
      <c r="Q16" s="7"/>
      <c r="R16" s="9">
        <v>0</v>
      </c>
      <c r="S16" s="7"/>
      <c r="T16" s="9">
        <v>0</v>
      </c>
      <c r="U16" s="7"/>
      <c r="V16" s="9">
        <v>0</v>
      </c>
      <c r="W16" s="7"/>
      <c r="X16" s="9">
        <v>0</v>
      </c>
      <c r="Y16" s="7"/>
      <c r="Z16" s="9">
        <v>0</v>
      </c>
      <c r="AA16" s="7"/>
      <c r="AB16" s="9">
        <v>0</v>
      </c>
      <c r="AC16" s="7"/>
      <c r="AD16" s="9">
        <v>0</v>
      </c>
      <c r="AE16" s="7"/>
      <c r="AF16" s="9">
        <v>0</v>
      </c>
      <c r="AG16" s="7"/>
      <c r="AH16" s="9">
        <v>0</v>
      </c>
      <c r="AI16" s="7"/>
      <c r="AJ16" s="9">
        <v>0</v>
      </c>
      <c r="AK16" s="7"/>
      <c r="AL16" s="9">
        <v>0</v>
      </c>
      <c r="AM16" s="7"/>
      <c r="AN16" s="9">
        <v>0</v>
      </c>
      <c r="AO16" s="7"/>
      <c r="AP16" s="9">
        <v>0</v>
      </c>
      <c r="AQ16" s="7"/>
      <c r="AR16" s="9">
        <v>50</v>
      </c>
      <c r="AS16" s="7"/>
      <c r="AT16" s="9">
        <v>0</v>
      </c>
      <c r="AU16" s="7"/>
      <c r="AV16" s="9">
        <v>0</v>
      </c>
      <c r="AW16" s="7"/>
      <c r="AX16" s="9">
        <v>0</v>
      </c>
      <c r="AY16" s="7"/>
      <c r="AZ16" s="9">
        <v>0</v>
      </c>
      <c r="BA16" s="7"/>
      <c r="BB16" s="9">
        <v>0</v>
      </c>
      <c r="BC16" s="7"/>
      <c r="BD16" s="9">
        <v>50</v>
      </c>
      <c r="BE16" s="7"/>
      <c r="BF16" s="9">
        <v>0</v>
      </c>
      <c r="BG16" s="7"/>
      <c r="BH16" s="9">
        <v>0</v>
      </c>
      <c r="BI16" s="7"/>
      <c r="BJ16" s="9">
        <v>0</v>
      </c>
      <c r="BK16" s="7"/>
      <c r="BL16" s="9">
        <v>115.1</v>
      </c>
      <c r="BM16" s="7"/>
      <c r="BN16" s="9">
        <v>115.1</v>
      </c>
      <c r="BO16" s="7"/>
      <c r="BP16" s="9">
        <f t="shared" si="0"/>
        <v>330.2</v>
      </c>
    </row>
    <row r="17" spans="1:68" outlineLevel="1" x14ac:dyDescent="0.35">
      <c r="A17" s="2"/>
      <c r="B17" s="2"/>
      <c r="C17" s="2"/>
      <c r="D17" s="2"/>
      <c r="E17" s="2" t="s">
        <v>24</v>
      </c>
      <c r="F17" s="2"/>
      <c r="G17" s="2"/>
      <c r="H17" s="6">
        <f>ROUND(SUM(H13:H16),5)</f>
        <v>0</v>
      </c>
      <c r="I17" s="7"/>
      <c r="J17" s="6">
        <f>ROUND(SUM(J13:J16),5)</f>
        <v>0</v>
      </c>
      <c r="K17" s="7"/>
      <c r="L17" s="6">
        <f>ROUND(SUM(L13:L16),5)</f>
        <v>0</v>
      </c>
      <c r="M17" s="7"/>
      <c r="N17" s="6">
        <f>ROUND(SUM(N13:N16),5)</f>
        <v>0</v>
      </c>
      <c r="O17" s="7"/>
      <c r="P17" s="6">
        <f>ROUND(SUM(P13:P16),5)</f>
        <v>0</v>
      </c>
      <c r="Q17" s="7"/>
      <c r="R17" s="6">
        <f>ROUND(SUM(R13:R16),5)</f>
        <v>0</v>
      </c>
      <c r="S17" s="7"/>
      <c r="T17" s="6">
        <f>ROUND(SUM(T13:T16),5)</f>
        <v>0</v>
      </c>
      <c r="U17" s="7"/>
      <c r="V17" s="6">
        <f>ROUND(SUM(V13:V16),5)</f>
        <v>0</v>
      </c>
      <c r="W17" s="7"/>
      <c r="X17" s="6">
        <f>ROUND(SUM(X13:X16),5)</f>
        <v>0</v>
      </c>
      <c r="Y17" s="7"/>
      <c r="Z17" s="6">
        <f>ROUND(SUM(Z13:Z16),5)</f>
        <v>0</v>
      </c>
      <c r="AA17" s="7"/>
      <c r="AB17" s="6">
        <f>ROUND(SUM(AB13:AB16),5)</f>
        <v>0</v>
      </c>
      <c r="AC17" s="7"/>
      <c r="AD17" s="6">
        <f>ROUND(SUM(AD13:AD16),5)</f>
        <v>0</v>
      </c>
      <c r="AE17" s="7"/>
      <c r="AF17" s="6">
        <f>ROUND(SUM(AF13:AF16),5)</f>
        <v>3678.52</v>
      </c>
      <c r="AG17" s="7"/>
      <c r="AH17" s="6">
        <f>ROUND(SUM(AH13:AH16),5)</f>
        <v>0</v>
      </c>
      <c r="AI17" s="7"/>
      <c r="AJ17" s="6">
        <f>ROUND(SUM(AJ13:AJ16),5)</f>
        <v>0</v>
      </c>
      <c r="AK17" s="7"/>
      <c r="AL17" s="6">
        <f>ROUND(SUM(AL13:AL16),5)</f>
        <v>0</v>
      </c>
      <c r="AM17" s="7"/>
      <c r="AN17" s="6">
        <f>ROUND(SUM(AN13:AN16),5)</f>
        <v>0</v>
      </c>
      <c r="AO17" s="7"/>
      <c r="AP17" s="6">
        <f>ROUND(SUM(AP13:AP16),5)</f>
        <v>0</v>
      </c>
      <c r="AQ17" s="7"/>
      <c r="AR17" s="6">
        <f>ROUND(SUM(AR13:AR16),5)</f>
        <v>1778.89</v>
      </c>
      <c r="AS17" s="7"/>
      <c r="AT17" s="6">
        <f>ROUND(SUM(AT13:AT16),5)</f>
        <v>0</v>
      </c>
      <c r="AU17" s="7"/>
      <c r="AV17" s="6">
        <f>ROUND(SUM(AV13:AV16),5)</f>
        <v>0</v>
      </c>
      <c r="AW17" s="7"/>
      <c r="AX17" s="6">
        <f>ROUND(SUM(AX13:AX16),5)</f>
        <v>0</v>
      </c>
      <c r="AY17" s="7"/>
      <c r="AZ17" s="6">
        <f>ROUND(SUM(AZ13:AZ16),5)</f>
        <v>0</v>
      </c>
      <c r="BA17" s="7"/>
      <c r="BB17" s="6">
        <f>ROUND(SUM(BB13:BB16),5)</f>
        <v>0</v>
      </c>
      <c r="BC17" s="7"/>
      <c r="BD17" s="6">
        <f>ROUND(SUM(BD13:BD16),5)</f>
        <v>1330.49</v>
      </c>
      <c r="BE17" s="7"/>
      <c r="BF17" s="6">
        <f>ROUND(SUM(BF13:BF16),5)</f>
        <v>0</v>
      </c>
      <c r="BG17" s="7"/>
      <c r="BH17" s="6">
        <f>ROUND(SUM(BH13:BH16),5)</f>
        <v>-176</v>
      </c>
      <c r="BI17" s="7"/>
      <c r="BJ17" s="6">
        <f>ROUND(SUM(BJ13:BJ16),5)</f>
        <v>0</v>
      </c>
      <c r="BK17" s="7"/>
      <c r="BL17" s="6">
        <f>ROUND(SUM(BL13:BL16),5)</f>
        <v>3158.07</v>
      </c>
      <c r="BM17" s="7"/>
      <c r="BN17" s="6">
        <f>ROUND(SUM(BN13:BN16),5)</f>
        <v>5470</v>
      </c>
      <c r="BO17" s="7"/>
      <c r="BP17" s="6">
        <f t="shared" si="0"/>
        <v>15239.97</v>
      </c>
    </row>
    <row r="18" spans="1:68" outlineLevel="1" x14ac:dyDescent="0.35">
      <c r="A18" s="2"/>
      <c r="B18" s="2"/>
      <c r="C18" s="2"/>
      <c r="D18" s="2"/>
      <c r="E18" s="2" t="s">
        <v>26</v>
      </c>
      <c r="F18" s="2"/>
      <c r="G18" s="2"/>
      <c r="H18" s="6">
        <v>0</v>
      </c>
      <c r="I18" s="7"/>
      <c r="J18" s="6">
        <v>0</v>
      </c>
      <c r="K18" s="7"/>
      <c r="L18" s="6">
        <v>0</v>
      </c>
      <c r="M18" s="7"/>
      <c r="N18" s="6">
        <v>0</v>
      </c>
      <c r="O18" s="7"/>
      <c r="P18" s="6">
        <v>0</v>
      </c>
      <c r="Q18" s="7"/>
      <c r="R18" s="6">
        <v>0</v>
      </c>
      <c r="S18" s="7"/>
      <c r="T18" s="6">
        <v>0</v>
      </c>
      <c r="U18" s="7"/>
      <c r="V18" s="6">
        <v>0</v>
      </c>
      <c r="W18" s="7"/>
      <c r="X18" s="6">
        <v>0</v>
      </c>
      <c r="Y18" s="7"/>
      <c r="Z18" s="6">
        <v>0</v>
      </c>
      <c r="AA18" s="7"/>
      <c r="AB18" s="6">
        <v>0</v>
      </c>
      <c r="AC18" s="7"/>
      <c r="AD18" s="6">
        <v>0</v>
      </c>
      <c r="AE18" s="7"/>
      <c r="AF18" s="6">
        <v>0</v>
      </c>
      <c r="AG18" s="7"/>
      <c r="AH18" s="6">
        <v>0</v>
      </c>
      <c r="AI18" s="7"/>
      <c r="AJ18" s="6">
        <v>0</v>
      </c>
      <c r="AK18" s="7"/>
      <c r="AL18" s="6">
        <v>0</v>
      </c>
      <c r="AM18" s="7"/>
      <c r="AN18" s="6">
        <v>0</v>
      </c>
      <c r="AO18" s="7"/>
      <c r="AP18" s="6">
        <v>0</v>
      </c>
      <c r="AQ18" s="7"/>
      <c r="AR18" s="6">
        <v>0</v>
      </c>
      <c r="AS18" s="7"/>
      <c r="AT18" s="6">
        <v>0</v>
      </c>
      <c r="AU18" s="7"/>
      <c r="AV18" s="6">
        <v>0</v>
      </c>
      <c r="AW18" s="7"/>
      <c r="AX18" s="6">
        <v>0</v>
      </c>
      <c r="AY18" s="7"/>
      <c r="AZ18" s="6">
        <v>0</v>
      </c>
      <c r="BA18" s="7"/>
      <c r="BB18" s="6">
        <v>0</v>
      </c>
      <c r="BC18" s="7"/>
      <c r="BD18" s="6">
        <v>0</v>
      </c>
      <c r="BE18" s="7"/>
      <c r="BF18" s="6">
        <v>0</v>
      </c>
      <c r="BG18" s="7"/>
      <c r="BH18" s="6">
        <v>0</v>
      </c>
      <c r="BI18" s="7"/>
      <c r="BJ18" s="6">
        <v>0</v>
      </c>
      <c r="BK18" s="7"/>
      <c r="BL18" s="6">
        <v>0</v>
      </c>
      <c r="BM18" s="7"/>
      <c r="BN18" s="6">
        <v>0</v>
      </c>
      <c r="BO18" s="7"/>
      <c r="BP18" s="6">
        <f t="shared" si="0"/>
        <v>0</v>
      </c>
    </row>
    <row r="19" spans="1:68" outlineLevel="1" x14ac:dyDescent="0.35">
      <c r="A19" s="2"/>
      <c r="B19" s="2"/>
      <c r="C19" s="2"/>
      <c r="D19" s="2"/>
      <c r="E19" s="2" t="s">
        <v>30</v>
      </c>
      <c r="F19" s="2"/>
      <c r="G19" s="2"/>
      <c r="H19" s="6">
        <v>78.47</v>
      </c>
      <c r="I19" s="7"/>
      <c r="J19" s="6">
        <v>116.57</v>
      </c>
      <c r="K19" s="7"/>
      <c r="L19" s="6">
        <v>117.97</v>
      </c>
      <c r="M19" s="7"/>
      <c r="N19" s="6">
        <v>119</v>
      </c>
      <c r="O19" s="7"/>
      <c r="P19" s="6">
        <v>105.4</v>
      </c>
      <c r="Q19" s="7"/>
      <c r="R19" s="6">
        <v>114.25</v>
      </c>
      <c r="S19" s="7"/>
      <c r="T19" s="6">
        <v>77.099999999999994</v>
      </c>
      <c r="U19" s="7"/>
      <c r="V19" s="6">
        <v>37.409999999999997</v>
      </c>
      <c r="W19" s="7"/>
      <c r="X19" s="6">
        <v>22.54</v>
      </c>
      <c r="Y19" s="7"/>
      <c r="Z19" s="6">
        <v>9.73</v>
      </c>
      <c r="AA19" s="7"/>
      <c r="AB19" s="6">
        <v>9.89</v>
      </c>
      <c r="AC19" s="7"/>
      <c r="AD19" s="6">
        <v>10.039999999999999</v>
      </c>
      <c r="AE19" s="7"/>
      <c r="AF19" s="6">
        <v>10.32</v>
      </c>
      <c r="AG19" s="7"/>
      <c r="AH19" s="6">
        <v>10.32</v>
      </c>
      <c r="AI19" s="7"/>
      <c r="AJ19" s="6">
        <v>14.11</v>
      </c>
      <c r="AK19" s="7"/>
      <c r="AL19" s="6">
        <v>388.44</v>
      </c>
      <c r="AM19" s="7"/>
      <c r="AN19" s="6">
        <v>23.87</v>
      </c>
      <c r="AO19" s="7"/>
      <c r="AP19" s="6">
        <v>24.67</v>
      </c>
      <c r="AQ19" s="7"/>
      <c r="AR19" s="6">
        <v>24.44</v>
      </c>
      <c r="AS19" s="7"/>
      <c r="AT19" s="6">
        <v>21.98</v>
      </c>
      <c r="AU19" s="7"/>
      <c r="AV19" s="6">
        <v>17.989999999999998</v>
      </c>
      <c r="AW19" s="7"/>
      <c r="AX19" s="6">
        <v>16.98</v>
      </c>
      <c r="AY19" s="7"/>
      <c r="AZ19" s="6">
        <v>17.55</v>
      </c>
      <c r="BA19" s="7"/>
      <c r="BB19" s="6">
        <v>16.98</v>
      </c>
      <c r="BC19" s="7"/>
      <c r="BD19" s="6">
        <v>17.559999999999999</v>
      </c>
      <c r="BE19" s="7"/>
      <c r="BF19" s="6">
        <v>17.55</v>
      </c>
      <c r="BG19" s="7"/>
      <c r="BH19" s="6">
        <v>16.989999999999998</v>
      </c>
      <c r="BI19" s="7"/>
      <c r="BJ19" s="6">
        <v>17.559999999999999</v>
      </c>
      <c r="BK19" s="7"/>
      <c r="BL19" s="6">
        <v>16.989999999999998</v>
      </c>
      <c r="BM19" s="7"/>
      <c r="BN19" s="6">
        <v>17.559999999999999</v>
      </c>
      <c r="BO19" s="7"/>
      <c r="BP19" s="6">
        <f t="shared" si="0"/>
        <v>1510.23</v>
      </c>
    </row>
    <row r="20" spans="1:68" ht="15" outlineLevel="1" thickBot="1" x14ac:dyDescent="0.4">
      <c r="A20" s="2"/>
      <c r="B20" s="2"/>
      <c r="C20" s="2"/>
      <c r="D20" s="2"/>
      <c r="E20" s="2" t="s">
        <v>125</v>
      </c>
      <c r="F20" s="2"/>
      <c r="G20" s="2"/>
      <c r="H20" s="6">
        <v>0</v>
      </c>
      <c r="I20" s="7"/>
      <c r="J20" s="6">
        <v>0</v>
      </c>
      <c r="K20" s="7"/>
      <c r="L20" s="6">
        <v>0</v>
      </c>
      <c r="M20" s="7"/>
      <c r="N20" s="6">
        <v>0</v>
      </c>
      <c r="O20" s="7"/>
      <c r="P20" s="6">
        <v>0</v>
      </c>
      <c r="Q20" s="7"/>
      <c r="R20" s="6">
        <v>0</v>
      </c>
      <c r="S20" s="7"/>
      <c r="T20" s="6">
        <v>0</v>
      </c>
      <c r="U20" s="7"/>
      <c r="V20" s="6">
        <v>0</v>
      </c>
      <c r="W20" s="7"/>
      <c r="X20" s="6">
        <v>0</v>
      </c>
      <c r="Y20" s="7"/>
      <c r="Z20" s="6">
        <v>0</v>
      </c>
      <c r="AA20" s="7"/>
      <c r="AB20" s="6">
        <v>0</v>
      </c>
      <c r="AC20" s="7"/>
      <c r="AD20" s="6">
        <v>0</v>
      </c>
      <c r="AE20" s="7"/>
      <c r="AF20" s="6">
        <v>0</v>
      </c>
      <c r="AG20" s="7"/>
      <c r="AH20" s="6">
        <v>0</v>
      </c>
      <c r="AI20" s="7"/>
      <c r="AJ20" s="6">
        <v>0</v>
      </c>
      <c r="AK20" s="7"/>
      <c r="AL20" s="6">
        <v>0</v>
      </c>
      <c r="AM20" s="7"/>
      <c r="AN20" s="6">
        <v>0</v>
      </c>
      <c r="AO20" s="7"/>
      <c r="AP20" s="6">
        <v>0</v>
      </c>
      <c r="AQ20" s="7"/>
      <c r="AR20" s="6">
        <v>0</v>
      </c>
      <c r="AS20" s="7"/>
      <c r="AT20" s="6">
        <v>0</v>
      </c>
      <c r="AU20" s="7"/>
      <c r="AV20" s="6">
        <v>0</v>
      </c>
      <c r="AW20" s="7"/>
      <c r="AX20" s="6">
        <v>0</v>
      </c>
      <c r="AY20" s="7"/>
      <c r="AZ20" s="6">
        <v>0</v>
      </c>
      <c r="BA20" s="7"/>
      <c r="BB20" s="6">
        <v>0</v>
      </c>
      <c r="BC20" s="7"/>
      <c r="BD20" s="6">
        <v>0</v>
      </c>
      <c r="BE20" s="7"/>
      <c r="BF20" s="6">
        <v>0</v>
      </c>
      <c r="BG20" s="7"/>
      <c r="BH20" s="6">
        <v>0</v>
      </c>
      <c r="BI20" s="7"/>
      <c r="BJ20" s="6">
        <v>0</v>
      </c>
      <c r="BK20" s="7"/>
      <c r="BL20" s="6">
        <v>0</v>
      </c>
      <c r="BM20" s="7"/>
      <c r="BN20" s="6">
        <v>0</v>
      </c>
      <c r="BO20" s="7"/>
      <c r="BP20" s="6">
        <f t="shared" si="0"/>
        <v>0</v>
      </c>
    </row>
    <row r="21" spans="1:68" ht="15" thickBot="1" x14ac:dyDescent="0.4">
      <c r="A21" s="2"/>
      <c r="B21" s="2"/>
      <c r="C21" s="2"/>
      <c r="D21" s="2" t="s">
        <v>31</v>
      </c>
      <c r="E21" s="2"/>
      <c r="F21" s="2"/>
      <c r="G21" s="2"/>
      <c r="H21" s="11">
        <f>ROUND(H3+H8+H12+SUM(H17:H20),5)</f>
        <v>7083.44</v>
      </c>
      <c r="I21" s="7"/>
      <c r="J21" s="11">
        <f>ROUND(J3+J8+J12+SUM(J17:J20),5)</f>
        <v>7129.4</v>
      </c>
      <c r="K21" s="7"/>
      <c r="L21" s="11">
        <f>ROUND(L3+L8+L12+SUM(L17:L20),5)</f>
        <v>7130.48</v>
      </c>
      <c r="M21" s="7"/>
      <c r="N21" s="11">
        <f>ROUND(N3+N8+N12+SUM(N17:N20),5)</f>
        <v>7096.52</v>
      </c>
      <c r="O21" s="7"/>
      <c r="P21" s="11">
        <f>ROUND(P3+P8+P12+SUM(P17:P20),5)</f>
        <v>7078.81</v>
      </c>
      <c r="Q21" s="7"/>
      <c r="R21" s="11">
        <f>ROUND(R3+R8+R12+SUM(R17:R20),5)</f>
        <v>7108.35</v>
      </c>
      <c r="S21" s="7"/>
      <c r="T21" s="11">
        <f>ROUND(T3+T8+T12+SUM(T17:T20),5)</f>
        <v>7072.77</v>
      </c>
      <c r="U21" s="7"/>
      <c r="V21" s="11">
        <f>ROUND(V3+V8+V12+SUM(V17:V20),5)</f>
        <v>7355.76</v>
      </c>
      <c r="W21" s="7"/>
      <c r="X21" s="11">
        <f>ROUND(X3+X8+X12+SUM(X17:X20),5)</f>
        <v>6964.21</v>
      </c>
      <c r="Y21" s="7"/>
      <c r="Z21" s="11">
        <f>ROUND(Z3+Z8+Z12+SUM(Z17:Z20),5)</f>
        <v>6873.73</v>
      </c>
      <c r="AA21" s="7"/>
      <c r="AB21" s="11">
        <f>ROUND(AB3+AB8+AB12+SUM(AB17:AB20),5)</f>
        <v>6873.89</v>
      </c>
      <c r="AC21" s="7"/>
      <c r="AD21" s="11">
        <f>ROUND(AD3+AD8+AD12+SUM(AD17:AD20),5)</f>
        <v>6857.04</v>
      </c>
      <c r="AE21" s="7"/>
      <c r="AF21" s="11">
        <f>ROUND(AF3+AF8+AF12+SUM(AF17:AF20),5)</f>
        <v>10535.84</v>
      </c>
      <c r="AG21" s="7"/>
      <c r="AH21" s="11">
        <f>ROUND(AH3+AH8+AH12+SUM(AH17:AH20),5)</f>
        <v>6840.32</v>
      </c>
      <c r="AI21" s="7"/>
      <c r="AJ21" s="11">
        <f>ROUND(AJ3+AJ8+AJ12+SUM(AJ17:AJ20),5)</f>
        <v>6844.11</v>
      </c>
      <c r="AK21" s="7"/>
      <c r="AL21" s="11">
        <f>ROUND(AL3+AL8+AL12+SUM(AL17:AL20),5)</f>
        <v>7218.44</v>
      </c>
      <c r="AM21" s="7"/>
      <c r="AN21" s="11">
        <f>ROUND(AN3+AN8+AN12+SUM(AN17:AN20),5)</f>
        <v>6853.87</v>
      </c>
      <c r="AO21" s="7"/>
      <c r="AP21" s="11">
        <f>ROUND(AP3+AP8+AP12+SUM(AP17:AP20),5)</f>
        <v>6854.67</v>
      </c>
      <c r="AQ21" s="7"/>
      <c r="AR21" s="11">
        <f>ROUND(AR3+AR8+AR12+SUM(AR17:AR20),5)</f>
        <v>8633.33</v>
      </c>
      <c r="AS21" s="7"/>
      <c r="AT21" s="11">
        <f>ROUND(AT3+AT8+AT12+SUM(AT17:AT20),5)</f>
        <v>6834.98</v>
      </c>
      <c r="AU21" s="7"/>
      <c r="AV21" s="11">
        <f>ROUND(AV3+AV8+AV12+SUM(AV17:AV20),5)</f>
        <v>6830.99</v>
      </c>
      <c r="AW21" s="7"/>
      <c r="AX21" s="11">
        <f>ROUND(AX3+AX8+AX12+SUM(AX17:AX20),5)</f>
        <v>6829.98</v>
      </c>
      <c r="AY21" s="7"/>
      <c r="AZ21" s="11">
        <f>ROUND(AZ3+AZ8+AZ12+SUM(AZ17:AZ20),5)</f>
        <v>6907.97</v>
      </c>
      <c r="BA21" s="7"/>
      <c r="BB21" s="11">
        <f>ROUND(BB3+BB8+BB12+SUM(BB17:BB20),5)</f>
        <v>6876.22</v>
      </c>
      <c r="BC21" s="7"/>
      <c r="BD21" s="11">
        <f>ROUND(BD3+BD8+BD12+SUM(BD17:BD20),5)</f>
        <v>8211.24</v>
      </c>
      <c r="BE21" s="7"/>
      <c r="BF21" s="11">
        <f>ROUND(BF3+BF8+BF12+SUM(BF17:BF20),5)</f>
        <v>6844.16</v>
      </c>
      <c r="BG21" s="7"/>
      <c r="BH21" s="11">
        <f>ROUND(BH3+BH8+BH12+SUM(BH17:BH20),5)</f>
        <v>6650.62</v>
      </c>
      <c r="BI21" s="7"/>
      <c r="BJ21" s="11">
        <f>ROUND(BJ3+BJ8+BJ12+SUM(BJ17:BJ20),5)</f>
        <v>6814.85</v>
      </c>
      <c r="BK21" s="7"/>
      <c r="BL21" s="11">
        <f>ROUND(BL3+BL8+BL12+SUM(BL17:BL20),5)</f>
        <v>9971.6200000000008</v>
      </c>
      <c r="BM21" s="7"/>
      <c r="BN21" s="11">
        <f>ROUND(BN3+BN8+BN12+SUM(BN17:BN20),5)</f>
        <v>12263.66</v>
      </c>
      <c r="BO21" s="7"/>
      <c r="BP21" s="11">
        <f t="shared" si="0"/>
        <v>223441.27</v>
      </c>
    </row>
    <row r="22" spans="1:68" x14ac:dyDescent="0.35">
      <c r="A22" s="2"/>
      <c r="B22" s="2"/>
      <c r="C22" s="2" t="s">
        <v>32</v>
      </c>
      <c r="D22" s="2"/>
      <c r="E22" s="2"/>
      <c r="F22" s="2"/>
      <c r="G22" s="2"/>
      <c r="H22" s="6">
        <f>H21</f>
        <v>7083.44</v>
      </c>
      <c r="I22" s="7"/>
      <c r="J22" s="6">
        <f>J21</f>
        <v>7129.4</v>
      </c>
      <c r="K22" s="7"/>
      <c r="L22" s="6">
        <f>L21</f>
        <v>7130.48</v>
      </c>
      <c r="M22" s="7"/>
      <c r="N22" s="6">
        <f>N21</f>
        <v>7096.52</v>
      </c>
      <c r="O22" s="7"/>
      <c r="P22" s="6">
        <f>P21</f>
        <v>7078.81</v>
      </c>
      <c r="Q22" s="7"/>
      <c r="R22" s="6">
        <f>R21</f>
        <v>7108.35</v>
      </c>
      <c r="S22" s="7"/>
      <c r="T22" s="6">
        <f>T21</f>
        <v>7072.77</v>
      </c>
      <c r="U22" s="7"/>
      <c r="V22" s="6">
        <f>V21</f>
        <v>7355.76</v>
      </c>
      <c r="W22" s="7"/>
      <c r="X22" s="6">
        <f>X21</f>
        <v>6964.21</v>
      </c>
      <c r="Y22" s="7"/>
      <c r="Z22" s="6">
        <f>Z21</f>
        <v>6873.73</v>
      </c>
      <c r="AA22" s="7"/>
      <c r="AB22" s="6">
        <f>AB21</f>
        <v>6873.89</v>
      </c>
      <c r="AC22" s="7"/>
      <c r="AD22" s="6">
        <f>AD21</f>
        <v>6857.04</v>
      </c>
      <c r="AE22" s="7"/>
      <c r="AF22" s="6">
        <f>AF21</f>
        <v>10535.84</v>
      </c>
      <c r="AG22" s="7"/>
      <c r="AH22" s="6">
        <f>AH21</f>
        <v>6840.32</v>
      </c>
      <c r="AI22" s="7"/>
      <c r="AJ22" s="6">
        <f>AJ21</f>
        <v>6844.11</v>
      </c>
      <c r="AK22" s="7"/>
      <c r="AL22" s="6">
        <f>AL21</f>
        <v>7218.44</v>
      </c>
      <c r="AM22" s="7"/>
      <c r="AN22" s="6">
        <f>AN21</f>
        <v>6853.87</v>
      </c>
      <c r="AO22" s="7"/>
      <c r="AP22" s="6">
        <f>AP21</f>
        <v>6854.67</v>
      </c>
      <c r="AQ22" s="7"/>
      <c r="AR22" s="6">
        <f>AR21</f>
        <v>8633.33</v>
      </c>
      <c r="AS22" s="7"/>
      <c r="AT22" s="6">
        <f>AT21</f>
        <v>6834.98</v>
      </c>
      <c r="AU22" s="7"/>
      <c r="AV22" s="6">
        <f>AV21</f>
        <v>6830.99</v>
      </c>
      <c r="AW22" s="7"/>
      <c r="AX22" s="6">
        <f>AX21</f>
        <v>6829.98</v>
      </c>
      <c r="AY22" s="7"/>
      <c r="AZ22" s="6">
        <f>AZ21</f>
        <v>6907.97</v>
      </c>
      <c r="BA22" s="7"/>
      <c r="BB22" s="6">
        <f>BB21</f>
        <v>6876.22</v>
      </c>
      <c r="BC22" s="7"/>
      <c r="BD22" s="6">
        <f>BD21</f>
        <v>8211.24</v>
      </c>
      <c r="BE22" s="7"/>
      <c r="BF22" s="6">
        <f>BF21</f>
        <v>6844.16</v>
      </c>
      <c r="BG22" s="7"/>
      <c r="BH22" s="6">
        <f>BH21</f>
        <v>6650.62</v>
      </c>
      <c r="BI22" s="7"/>
      <c r="BJ22" s="6">
        <f>BJ21</f>
        <v>6814.85</v>
      </c>
      <c r="BK22" s="7"/>
      <c r="BL22" s="6">
        <f>BL21</f>
        <v>9971.6200000000008</v>
      </c>
      <c r="BM22" s="7"/>
      <c r="BN22" s="6">
        <f>BN21</f>
        <v>12263.66</v>
      </c>
      <c r="BO22" s="7"/>
      <c r="BP22" s="6">
        <f t="shared" si="0"/>
        <v>223441.27</v>
      </c>
    </row>
    <row r="23" spans="1:68" outlineLevel="1" x14ac:dyDescent="0.35">
      <c r="A23" s="2"/>
      <c r="B23" s="2"/>
      <c r="C23" s="2"/>
      <c r="D23" s="2" t="s">
        <v>33</v>
      </c>
      <c r="E23" s="2"/>
      <c r="F23" s="2"/>
      <c r="G23" s="2"/>
      <c r="H23" s="6"/>
      <c r="I23" s="7"/>
      <c r="J23" s="6"/>
      <c r="K23" s="7"/>
      <c r="L23" s="6"/>
      <c r="M23" s="7"/>
      <c r="N23" s="6"/>
      <c r="O23" s="7"/>
      <c r="P23" s="6"/>
      <c r="Q23" s="7"/>
      <c r="R23" s="6"/>
      <c r="S23" s="7"/>
      <c r="T23" s="6"/>
      <c r="U23" s="7"/>
      <c r="V23" s="6"/>
      <c r="W23" s="7"/>
      <c r="X23" s="6"/>
      <c r="Y23" s="7"/>
      <c r="Z23" s="6"/>
      <c r="AA23" s="7"/>
      <c r="AB23" s="6"/>
      <c r="AC23" s="7"/>
      <c r="AD23" s="6"/>
      <c r="AE23" s="7"/>
      <c r="AF23" s="6"/>
      <c r="AG23" s="7"/>
      <c r="AH23" s="6"/>
      <c r="AI23" s="7"/>
      <c r="AJ23" s="6"/>
      <c r="AK23" s="7"/>
      <c r="AL23" s="6"/>
      <c r="AM23" s="7"/>
      <c r="AN23" s="6"/>
      <c r="AO23" s="7"/>
      <c r="AP23" s="6"/>
      <c r="AQ23" s="7"/>
      <c r="AR23" s="6"/>
      <c r="AS23" s="7"/>
      <c r="AT23" s="6"/>
      <c r="AU23" s="7"/>
      <c r="AV23" s="6"/>
      <c r="AW23" s="7"/>
      <c r="AX23" s="6"/>
      <c r="AY23" s="7"/>
      <c r="AZ23" s="6"/>
      <c r="BA23" s="7"/>
      <c r="BB23" s="6"/>
      <c r="BC23" s="7"/>
      <c r="BD23" s="6"/>
      <c r="BE23" s="7"/>
      <c r="BF23" s="6"/>
      <c r="BG23" s="7"/>
      <c r="BH23" s="6"/>
      <c r="BI23" s="7"/>
      <c r="BJ23" s="6"/>
      <c r="BK23" s="7"/>
      <c r="BL23" s="6"/>
      <c r="BM23" s="7"/>
      <c r="BN23" s="6"/>
      <c r="BO23" s="7"/>
      <c r="BP23" s="6"/>
    </row>
    <row r="24" spans="1:68" outlineLevel="2" x14ac:dyDescent="0.35">
      <c r="A24" s="2"/>
      <c r="B24" s="2"/>
      <c r="C24" s="2"/>
      <c r="D24" s="2"/>
      <c r="E24" s="2" t="s">
        <v>35</v>
      </c>
      <c r="F24" s="2"/>
      <c r="G24" s="2"/>
      <c r="H24" s="6"/>
      <c r="I24" s="7"/>
      <c r="J24" s="6"/>
      <c r="K24" s="7"/>
      <c r="L24" s="6"/>
      <c r="M24" s="7"/>
      <c r="N24" s="6"/>
      <c r="O24" s="7"/>
      <c r="P24" s="6"/>
      <c r="Q24" s="7"/>
      <c r="R24" s="6"/>
      <c r="S24" s="7"/>
      <c r="T24" s="6"/>
      <c r="U24" s="7"/>
      <c r="V24" s="6"/>
      <c r="W24" s="7"/>
      <c r="X24" s="6"/>
      <c r="Y24" s="7"/>
      <c r="Z24" s="6"/>
      <c r="AA24" s="7"/>
      <c r="AB24" s="6"/>
      <c r="AC24" s="7"/>
      <c r="AD24" s="6"/>
      <c r="AE24" s="7"/>
      <c r="AF24" s="6"/>
      <c r="AG24" s="7"/>
      <c r="AH24" s="6"/>
      <c r="AI24" s="7"/>
      <c r="AJ24" s="6"/>
      <c r="AK24" s="7"/>
      <c r="AL24" s="6"/>
      <c r="AM24" s="7"/>
      <c r="AN24" s="6"/>
      <c r="AO24" s="7"/>
      <c r="AP24" s="6"/>
      <c r="AQ24" s="7"/>
      <c r="AR24" s="6"/>
      <c r="AS24" s="7"/>
      <c r="AT24" s="6"/>
      <c r="AU24" s="7"/>
      <c r="AV24" s="6"/>
      <c r="AW24" s="7"/>
      <c r="AX24" s="6"/>
      <c r="AY24" s="7"/>
      <c r="AZ24" s="6"/>
      <c r="BA24" s="7"/>
      <c r="BB24" s="6"/>
      <c r="BC24" s="7"/>
      <c r="BD24" s="6"/>
      <c r="BE24" s="7"/>
      <c r="BF24" s="6"/>
      <c r="BG24" s="7"/>
      <c r="BH24" s="6"/>
      <c r="BI24" s="7"/>
      <c r="BJ24" s="6"/>
      <c r="BK24" s="7"/>
      <c r="BL24" s="6"/>
      <c r="BM24" s="7"/>
      <c r="BN24" s="6"/>
      <c r="BO24" s="7"/>
      <c r="BP24" s="6"/>
    </row>
    <row r="25" spans="1:68" outlineLevel="3" x14ac:dyDescent="0.35">
      <c r="A25" s="2"/>
      <c r="B25" s="2"/>
      <c r="C25" s="2"/>
      <c r="D25" s="2"/>
      <c r="E25" s="2"/>
      <c r="F25" s="2" t="s">
        <v>37</v>
      </c>
      <c r="G25" s="2"/>
      <c r="H25" s="6"/>
      <c r="I25" s="7"/>
      <c r="J25" s="6"/>
      <c r="K25" s="7"/>
      <c r="L25" s="6"/>
      <c r="M25" s="7"/>
      <c r="N25" s="6"/>
      <c r="O25" s="7"/>
      <c r="P25" s="6"/>
      <c r="Q25" s="7"/>
      <c r="R25" s="6"/>
      <c r="S25" s="7"/>
      <c r="T25" s="6"/>
      <c r="U25" s="7"/>
      <c r="V25" s="6"/>
      <c r="W25" s="7"/>
      <c r="X25" s="6"/>
      <c r="Y25" s="7"/>
      <c r="Z25" s="6"/>
      <c r="AA25" s="7"/>
      <c r="AB25" s="6"/>
      <c r="AC25" s="7"/>
      <c r="AD25" s="6"/>
      <c r="AE25" s="7"/>
      <c r="AF25" s="6"/>
      <c r="AG25" s="7"/>
      <c r="AH25" s="6"/>
      <c r="AI25" s="7"/>
      <c r="AJ25" s="6"/>
      <c r="AK25" s="7"/>
      <c r="AL25" s="6"/>
      <c r="AM25" s="7"/>
      <c r="AN25" s="6"/>
      <c r="AO25" s="7"/>
      <c r="AP25" s="6"/>
      <c r="AQ25" s="7"/>
      <c r="AR25" s="6"/>
      <c r="AS25" s="7"/>
      <c r="AT25" s="6"/>
      <c r="AU25" s="7"/>
      <c r="AV25" s="6"/>
      <c r="AW25" s="7"/>
      <c r="AX25" s="6"/>
      <c r="AY25" s="7"/>
      <c r="AZ25" s="6"/>
      <c r="BA25" s="7"/>
      <c r="BB25" s="6"/>
      <c r="BC25" s="7"/>
      <c r="BD25" s="6"/>
      <c r="BE25" s="7"/>
      <c r="BF25" s="6"/>
      <c r="BG25" s="7"/>
      <c r="BH25" s="6"/>
      <c r="BI25" s="7"/>
      <c r="BJ25" s="6"/>
      <c r="BK25" s="7"/>
      <c r="BL25" s="6"/>
      <c r="BM25" s="7"/>
      <c r="BN25" s="6"/>
      <c r="BO25" s="7"/>
      <c r="BP25" s="6"/>
    </row>
    <row r="26" spans="1:68" outlineLevel="3" x14ac:dyDescent="0.35">
      <c r="A26" s="2"/>
      <c r="B26" s="2"/>
      <c r="C26" s="2"/>
      <c r="D26" s="2"/>
      <c r="E26" s="2"/>
      <c r="F26" s="2"/>
      <c r="G26" s="2" t="s">
        <v>39</v>
      </c>
      <c r="H26" s="6">
        <v>0</v>
      </c>
      <c r="I26" s="7"/>
      <c r="J26" s="6">
        <v>0</v>
      </c>
      <c r="K26" s="7"/>
      <c r="L26" s="6">
        <v>0</v>
      </c>
      <c r="M26" s="7"/>
      <c r="N26" s="6">
        <v>0</v>
      </c>
      <c r="O26" s="7"/>
      <c r="P26" s="6">
        <v>0</v>
      </c>
      <c r="Q26" s="7"/>
      <c r="R26" s="6">
        <v>0</v>
      </c>
      <c r="S26" s="7"/>
      <c r="T26" s="6">
        <v>0</v>
      </c>
      <c r="U26" s="7"/>
      <c r="V26" s="6">
        <v>0</v>
      </c>
      <c r="W26" s="7"/>
      <c r="X26" s="6">
        <v>0</v>
      </c>
      <c r="Y26" s="7"/>
      <c r="Z26" s="6">
        <v>0</v>
      </c>
      <c r="AA26" s="7"/>
      <c r="AB26" s="6">
        <v>0</v>
      </c>
      <c r="AC26" s="7"/>
      <c r="AD26" s="6">
        <v>0</v>
      </c>
      <c r="AE26" s="7"/>
      <c r="AF26" s="6">
        <v>0</v>
      </c>
      <c r="AG26" s="7"/>
      <c r="AH26" s="6">
        <v>0</v>
      </c>
      <c r="AI26" s="7"/>
      <c r="AJ26" s="6">
        <v>2909.98</v>
      </c>
      <c r="AK26" s="7"/>
      <c r="AL26" s="6">
        <v>0</v>
      </c>
      <c r="AM26" s="7"/>
      <c r="AN26" s="6">
        <v>0</v>
      </c>
      <c r="AO26" s="7"/>
      <c r="AP26" s="6">
        <v>0</v>
      </c>
      <c r="AQ26" s="7"/>
      <c r="AR26" s="6">
        <v>0</v>
      </c>
      <c r="AS26" s="7"/>
      <c r="AT26" s="6">
        <v>0</v>
      </c>
      <c r="AU26" s="7"/>
      <c r="AV26" s="6">
        <v>0</v>
      </c>
      <c r="AW26" s="7"/>
      <c r="AX26" s="6">
        <v>0</v>
      </c>
      <c r="AY26" s="7"/>
      <c r="AZ26" s="6">
        <v>0</v>
      </c>
      <c r="BA26" s="7"/>
      <c r="BB26" s="6">
        <v>0</v>
      </c>
      <c r="BC26" s="7"/>
      <c r="BD26" s="6">
        <v>0</v>
      </c>
      <c r="BE26" s="7"/>
      <c r="BF26" s="6">
        <v>0</v>
      </c>
      <c r="BG26" s="7"/>
      <c r="BH26" s="6">
        <v>0</v>
      </c>
      <c r="BI26" s="7"/>
      <c r="BJ26" s="6">
        <v>0</v>
      </c>
      <c r="BK26" s="7"/>
      <c r="BL26" s="6">
        <v>0</v>
      </c>
      <c r="BM26" s="7"/>
      <c r="BN26" s="6">
        <v>0</v>
      </c>
      <c r="BO26" s="7"/>
      <c r="BP26" s="6">
        <f>ROUND(SUM(H26:BN26),5)</f>
        <v>2909.98</v>
      </c>
    </row>
    <row r="27" spans="1:68" ht="15" outlineLevel="3" thickBot="1" x14ac:dyDescent="0.4">
      <c r="A27" s="2"/>
      <c r="B27" s="2"/>
      <c r="C27" s="2"/>
      <c r="D27" s="2"/>
      <c r="E27" s="2"/>
      <c r="F27" s="2"/>
      <c r="G27" s="2" t="s">
        <v>40</v>
      </c>
      <c r="H27" s="6">
        <v>0</v>
      </c>
      <c r="I27" s="7"/>
      <c r="J27" s="6">
        <v>0</v>
      </c>
      <c r="K27" s="7"/>
      <c r="L27" s="6">
        <v>2942.16</v>
      </c>
      <c r="M27" s="7"/>
      <c r="N27" s="6">
        <v>0</v>
      </c>
      <c r="O27" s="7"/>
      <c r="P27" s="6">
        <v>0</v>
      </c>
      <c r="Q27" s="7"/>
      <c r="R27" s="6">
        <v>0</v>
      </c>
      <c r="S27" s="7"/>
      <c r="T27" s="6">
        <v>0</v>
      </c>
      <c r="U27" s="7"/>
      <c r="V27" s="6">
        <v>0</v>
      </c>
      <c r="W27" s="7"/>
      <c r="X27" s="6">
        <v>0</v>
      </c>
      <c r="Y27" s="7"/>
      <c r="Z27" s="6">
        <v>0</v>
      </c>
      <c r="AA27" s="7"/>
      <c r="AB27" s="6">
        <v>0</v>
      </c>
      <c r="AC27" s="7"/>
      <c r="AD27" s="6">
        <v>0</v>
      </c>
      <c r="AE27" s="7"/>
      <c r="AF27" s="6">
        <v>0</v>
      </c>
      <c r="AG27" s="7"/>
      <c r="AH27" s="6">
        <v>0</v>
      </c>
      <c r="AI27" s="7"/>
      <c r="AJ27" s="6">
        <v>2521.85</v>
      </c>
      <c r="AK27" s="7"/>
      <c r="AL27" s="6">
        <v>0</v>
      </c>
      <c r="AM27" s="7"/>
      <c r="AN27" s="6">
        <v>0</v>
      </c>
      <c r="AO27" s="7"/>
      <c r="AP27" s="6">
        <v>0</v>
      </c>
      <c r="AQ27" s="7"/>
      <c r="AR27" s="6">
        <v>0</v>
      </c>
      <c r="AS27" s="7"/>
      <c r="AT27" s="6">
        <v>0</v>
      </c>
      <c r="AU27" s="7"/>
      <c r="AV27" s="6">
        <v>0</v>
      </c>
      <c r="AW27" s="7"/>
      <c r="AX27" s="6">
        <v>408.33</v>
      </c>
      <c r="AY27" s="7"/>
      <c r="AZ27" s="6">
        <v>1241.18</v>
      </c>
      <c r="BA27" s="7"/>
      <c r="BB27" s="6">
        <v>1122.19</v>
      </c>
      <c r="BC27" s="7"/>
      <c r="BD27" s="6">
        <v>1083.42</v>
      </c>
      <c r="BE27" s="7"/>
      <c r="BF27" s="6">
        <v>1116.69</v>
      </c>
      <c r="BG27" s="7"/>
      <c r="BH27" s="6">
        <v>4291.01</v>
      </c>
      <c r="BI27" s="7"/>
      <c r="BJ27" s="6">
        <v>1108.43</v>
      </c>
      <c r="BK27" s="7"/>
      <c r="BL27" s="6">
        <v>1070.04</v>
      </c>
      <c r="BM27" s="7"/>
      <c r="BN27" s="6">
        <v>1102.81</v>
      </c>
      <c r="BO27" s="7"/>
      <c r="BP27" s="6">
        <f>ROUND(SUM(H27:BN27),5)</f>
        <v>18008.11</v>
      </c>
    </row>
    <row r="28" spans="1:68" ht="15" outlineLevel="2" thickBot="1" x14ac:dyDescent="0.4">
      <c r="A28" s="2"/>
      <c r="B28" s="2"/>
      <c r="C28" s="2"/>
      <c r="D28" s="2"/>
      <c r="E28" s="2"/>
      <c r="F28" s="2" t="s">
        <v>41</v>
      </c>
      <c r="G28" s="2"/>
      <c r="H28" s="11">
        <f>ROUND(SUM(H25:H27),5)</f>
        <v>0</v>
      </c>
      <c r="I28" s="7"/>
      <c r="J28" s="11">
        <f>ROUND(SUM(J25:J27),5)</f>
        <v>0</v>
      </c>
      <c r="K28" s="7"/>
      <c r="L28" s="11">
        <f>ROUND(SUM(L25:L27),5)</f>
        <v>2942.16</v>
      </c>
      <c r="M28" s="7"/>
      <c r="N28" s="11">
        <f>ROUND(SUM(N25:N27),5)</f>
        <v>0</v>
      </c>
      <c r="O28" s="7"/>
      <c r="P28" s="11">
        <f>ROUND(SUM(P25:P27),5)</f>
        <v>0</v>
      </c>
      <c r="Q28" s="7"/>
      <c r="R28" s="11">
        <f>ROUND(SUM(R25:R27),5)</f>
        <v>0</v>
      </c>
      <c r="S28" s="7"/>
      <c r="T28" s="11">
        <f>ROUND(SUM(T25:T27),5)</f>
        <v>0</v>
      </c>
      <c r="U28" s="7"/>
      <c r="V28" s="11">
        <f>ROUND(SUM(V25:V27),5)</f>
        <v>0</v>
      </c>
      <c r="W28" s="7"/>
      <c r="X28" s="11">
        <f>ROUND(SUM(X25:X27),5)</f>
        <v>0</v>
      </c>
      <c r="Y28" s="7"/>
      <c r="Z28" s="11">
        <f>ROUND(SUM(Z25:Z27),5)</f>
        <v>0</v>
      </c>
      <c r="AA28" s="7"/>
      <c r="AB28" s="11">
        <f>ROUND(SUM(AB25:AB27),5)</f>
        <v>0</v>
      </c>
      <c r="AC28" s="7"/>
      <c r="AD28" s="11">
        <f>ROUND(SUM(AD25:AD27),5)</f>
        <v>0</v>
      </c>
      <c r="AE28" s="7"/>
      <c r="AF28" s="11">
        <f>ROUND(SUM(AF25:AF27),5)</f>
        <v>0</v>
      </c>
      <c r="AG28" s="7"/>
      <c r="AH28" s="11">
        <f>ROUND(SUM(AH25:AH27),5)</f>
        <v>0</v>
      </c>
      <c r="AI28" s="7"/>
      <c r="AJ28" s="11">
        <f>ROUND(SUM(AJ25:AJ27),5)</f>
        <v>5431.83</v>
      </c>
      <c r="AK28" s="7"/>
      <c r="AL28" s="11">
        <f>ROUND(SUM(AL25:AL27),5)</f>
        <v>0</v>
      </c>
      <c r="AM28" s="7"/>
      <c r="AN28" s="11">
        <f>ROUND(SUM(AN25:AN27),5)</f>
        <v>0</v>
      </c>
      <c r="AO28" s="7"/>
      <c r="AP28" s="11">
        <f>ROUND(SUM(AP25:AP27),5)</f>
        <v>0</v>
      </c>
      <c r="AQ28" s="7"/>
      <c r="AR28" s="11">
        <f>ROUND(SUM(AR25:AR27),5)</f>
        <v>0</v>
      </c>
      <c r="AS28" s="7"/>
      <c r="AT28" s="11">
        <f>ROUND(SUM(AT25:AT27),5)</f>
        <v>0</v>
      </c>
      <c r="AU28" s="7"/>
      <c r="AV28" s="11">
        <f>ROUND(SUM(AV25:AV27),5)</f>
        <v>0</v>
      </c>
      <c r="AW28" s="7"/>
      <c r="AX28" s="11">
        <f>ROUND(SUM(AX25:AX27),5)</f>
        <v>408.33</v>
      </c>
      <c r="AY28" s="7"/>
      <c r="AZ28" s="11">
        <f>ROUND(SUM(AZ25:AZ27),5)</f>
        <v>1241.18</v>
      </c>
      <c r="BA28" s="7"/>
      <c r="BB28" s="11">
        <f>ROUND(SUM(BB25:BB27),5)</f>
        <v>1122.19</v>
      </c>
      <c r="BC28" s="7"/>
      <c r="BD28" s="11">
        <f>ROUND(SUM(BD25:BD27),5)</f>
        <v>1083.42</v>
      </c>
      <c r="BE28" s="7"/>
      <c r="BF28" s="11">
        <f>ROUND(SUM(BF25:BF27),5)</f>
        <v>1116.69</v>
      </c>
      <c r="BG28" s="7"/>
      <c r="BH28" s="11">
        <f>ROUND(SUM(BH25:BH27),5)</f>
        <v>4291.01</v>
      </c>
      <c r="BI28" s="7"/>
      <c r="BJ28" s="11">
        <f>ROUND(SUM(BJ25:BJ27),5)</f>
        <v>1108.43</v>
      </c>
      <c r="BK28" s="7"/>
      <c r="BL28" s="11">
        <f>ROUND(SUM(BL25:BL27),5)</f>
        <v>1070.04</v>
      </c>
      <c r="BM28" s="7"/>
      <c r="BN28" s="11">
        <f>ROUND(SUM(BN25:BN27),5)</f>
        <v>1102.81</v>
      </c>
      <c r="BO28" s="7"/>
      <c r="BP28" s="11">
        <f>ROUND(SUM(H28:BN28),5)</f>
        <v>20918.09</v>
      </c>
    </row>
    <row r="29" spans="1:68" outlineLevel="1" x14ac:dyDescent="0.35">
      <c r="A29" s="2"/>
      <c r="B29" s="2"/>
      <c r="C29" s="2"/>
      <c r="D29" s="2"/>
      <c r="E29" s="2" t="s">
        <v>53</v>
      </c>
      <c r="F29" s="2"/>
      <c r="G29" s="2"/>
      <c r="H29" s="6">
        <f>ROUND(H24+H28,5)</f>
        <v>0</v>
      </c>
      <c r="I29" s="7"/>
      <c r="J29" s="6">
        <f>ROUND(J24+J28,5)</f>
        <v>0</v>
      </c>
      <c r="K29" s="7"/>
      <c r="L29" s="6">
        <f>ROUND(L24+L28,5)</f>
        <v>2942.16</v>
      </c>
      <c r="M29" s="7"/>
      <c r="N29" s="6">
        <f>ROUND(N24+N28,5)</f>
        <v>0</v>
      </c>
      <c r="O29" s="7"/>
      <c r="P29" s="6">
        <f>ROUND(P24+P28,5)</f>
        <v>0</v>
      </c>
      <c r="Q29" s="7"/>
      <c r="R29" s="6">
        <f>ROUND(R24+R28,5)</f>
        <v>0</v>
      </c>
      <c r="S29" s="7"/>
      <c r="T29" s="6">
        <f>ROUND(T24+T28,5)</f>
        <v>0</v>
      </c>
      <c r="U29" s="7"/>
      <c r="V29" s="6">
        <f>ROUND(V24+V28,5)</f>
        <v>0</v>
      </c>
      <c r="W29" s="7"/>
      <c r="X29" s="6">
        <f>ROUND(X24+X28,5)</f>
        <v>0</v>
      </c>
      <c r="Y29" s="7"/>
      <c r="Z29" s="6">
        <f>ROUND(Z24+Z28,5)</f>
        <v>0</v>
      </c>
      <c r="AA29" s="7"/>
      <c r="AB29" s="6">
        <f>ROUND(AB24+AB28,5)</f>
        <v>0</v>
      </c>
      <c r="AC29" s="7"/>
      <c r="AD29" s="6">
        <f>ROUND(AD24+AD28,5)</f>
        <v>0</v>
      </c>
      <c r="AE29" s="7"/>
      <c r="AF29" s="6">
        <f>ROUND(AF24+AF28,5)</f>
        <v>0</v>
      </c>
      <c r="AG29" s="7"/>
      <c r="AH29" s="6">
        <f>ROUND(AH24+AH28,5)</f>
        <v>0</v>
      </c>
      <c r="AI29" s="7"/>
      <c r="AJ29" s="6">
        <f>ROUND(AJ24+AJ28,5)</f>
        <v>5431.83</v>
      </c>
      <c r="AK29" s="7"/>
      <c r="AL29" s="6">
        <f>ROUND(AL24+AL28,5)</f>
        <v>0</v>
      </c>
      <c r="AM29" s="7"/>
      <c r="AN29" s="6">
        <f>ROUND(AN24+AN28,5)</f>
        <v>0</v>
      </c>
      <c r="AO29" s="7"/>
      <c r="AP29" s="6">
        <f>ROUND(AP24+AP28,5)</f>
        <v>0</v>
      </c>
      <c r="AQ29" s="7"/>
      <c r="AR29" s="6">
        <f>ROUND(AR24+AR28,5)</f>
        <v>0</v>
      </c>
      <c r="AS29" s="7"/>
      <c r="AT29" s="6">
        <f>ROUND(AT24+AT28,5)</f>
        <v>0</v>
      </c>
      <c r="AU29" s="7"/>
      <c r="AV29" s="6">
        <f>ROUND(AV24+AV28,5)</f>
        <v>0</v>
      </c>
      <c r="AW29" s="7"/>
      <c r="AX29" s="6">
        <f>ROUND(AX24+AX28,5)</f>
        <v>408.33</v>
      </c>
      <c r="AY29" s="7"/>
      <c r="AZ29" s="6">
        <f>ROUND(AZ24+AZ28,5)</f>
        <v>1241.18</v>
      </c>
      <c r="BA29" s="7"/>
      <c r="BB29" s="6">
        <f>ROUND(BB24+BB28,5)</f>
        <v>1122.19</v>
      </c>
      <c r="BC29" s="7"/>
      <c r="BD29" s="6">
        <f>ROUND(BD24+BD28,5)</f>
        <v>1083.42</v>
      </c>
      <c r="BE29" s="7"/>
      <c r="BF29" s="6">
        <f>ROUND(BF24+BF28,5)</f>
        <v>1116.69</v>
      </c>
      <c r="BG29" s="7"/>
      <c r="BH29" s="6">
        <f>ROUND(BH24+BH28,5)</f>
        <v>4291.01</v>
      </c>
      <c r="BI29" s="7"/>
      <c r="BJ29" s="6">
        <f>ROUND(BJ24+BJ28,5)</f>
        <v>1108.43</v>
      </c>
      <c r="BK29" s="7"/>
      <c r="BL29" s="6">
        <f>ROUND(BL24+BL28,5)</f>
        <v>1070.04</v>
      </c>
      <c r="BM29" s="7"/>
      <c r="BN29" s="6">
        <f>ROUND(BN24+BN28,5)</f>
        <v>1102.81</v>
      </c>
      <c r="BO29" s="7"/>
      <c r="BP29" s="6">
        <f>ROUND(SUM(H29:BN29),5)</f>
        <v>20918.09</v>
      </c>
    </row>
    <row r="30" spans="1:68" outlineLevel="1" x14ac:dyDescent="0.35">
      <c r="A30" s="2"/>
      <c r="B30" s="2"/>
      <c r="C30" s="2"/>
      <c r="D30" s="2"/>
      <c r="E30" s="2" t="s">
        <v>76</v>
      </c>
      <c r="F30" s="2"/>
      <c r="G30" s="2"/>
      <c r="H30" s="6">
        <v>0</v>
      </c>
      <c r="I30" s="7"/>
      <c r="J30" s="6">
        <v>0</v>
      </c>
      <c r="K30" s="7"/>
      <c r="L30" s="6">
        <v>28020.6</v>
      </c>
      <c r="M30" s="7"/>
      <c r="N30" s="6">
        <v>0</v>
      </c>
      <c r="O30" s="7"/>
      <c r="P30" s="6">
        <v>0</v>
      </c>
      <c r="Q30" s="7"/>
      <c r="R30" s="6">
        <v>0</v>
      </c>
      <c r="S30" s="7"/>
      <c r="T30" s="6">
        <v>0</v>
      </c>
      <c r="U30" s="7"/>
      <c r="V30" s="6">
        <v>0</v>
      </c>
      <c r="W30" s="7"/>
      <c r="X30" s="6">
        <v>0</v>
      </c>
      <c r="Y30" s="7"/>
      <c r="Z30" s="6">
        <v>0</v>
      </c>
      <c r="AA30" s="7"/>
      <c r="AB30" s="6">
        <v>0</v>
      </c>
      <c r="AC30" s="7"/>
      <c r="AD30" s="6">
        <v>0</v>
      </c>
      <c r="AE30" s="7"/>
      <c r="AF30" s="6">
        <v>0</v>
      </c>
      <c r="AG30" s="7"/>
      <c r="AH30" s="6">
        <v>0</v>
      </c>
      <c r="AI30" s="7"/>
      <c r="AJ30" s="6">
        <v>28020.6</v>
      </c>
      <c r="AK30" s="7"/>
      <c r="AL30" s="6">
        <v>0</v>
      </c>
      <c r="AM30" s="7"/>
      <c r="AN30" s="6">
        <v>0</v>
      </c>
      <c r="AO30" s="7"/>
      <c r="AP30" s="6">
        <v>0</v>
      </c>
      <c r="AQ30" s="7"/>
      <c r="AR30" s="6">
        <v>0</v>
      </c>
      <c r="AS30" s="7"/>
      <c r="AT30" s="6">
        <v>0</v>
      </c>
      <c r="AU30" s="7"/>
      <c r="AV30" s="6">
        <v>0</v>
      </c>
      <c r="AW30" s="7"/>
      <c r="AX30" s="6">
        <v>408.33</v>
      </c>
      <c r="AY30" s="7"/>
      <c r="AZ30" s="6">
        <v>470.01</v>
      </c>
      <c r="BA30" s="7"/>
      <c r="BB30" s="6">
        <v>589</v>
      </c>
      <c r="BC30" s="7"/>
      <c r="BD30" s="6">
        <v>627.77</v>
      </c>
      <c r="BE30" s="7"/>
      <c r="BF30" s="6">
        <v>594.5</v>
      </c>
      <c r="BG30" s="7"/>
      <c r="BH30" s="6">
        <v>29253.51</v>
      </c>
      <c r="BI30" s="7"/>
      <c r="BJ30" s="6">
        <v>602.76</v>
      </c>
      <c r="BK30" s="7"/>
      <c r="BL30" s="6">
        <v>641.15</v>
      </c>
      <c r="BM30" s="7"/>
      <c r="BN30" s="6">
        <v>0</v>
      </c>
      <c r="BO30" s="7"/>
      <c r="BP30" s="6">
        <f>ROUND(SUM(H30:BN30),5)</f>
        <v>89228.23</v>
      </c>
    </row>
    <row r="31" spans="1:68" outlineLevel="2" x14ac:dyDescent="0.35">
      <c r="A31" s="2"/>
      <c r="B31" s="2"/>
      <c r="C31" s="2"/>
      <c r="D31" s="2"/>
      <c r="E31" s="2" t="s">
        <v>77</v>
      </c>
      <c r="F31" s="2"/>
      <c r="G31" s="2"/>
      <c r="H31" s="6"/>
      <c r="I31" s="7"/>
      <c r="J31" s="6"/>
      <c r="K31" s="7"/>
      <c r="L31" s="6"/>
      <c r="M31" s="7"/>
      <c r="N31" s="6"/>
      <c r="O31" s="7"/>
      <c r="P31" s="6"/>
      <c r="Q31" s="7"/>
      <c r="R31" s="6"/>
      <c r="S31" s="7"/>
      <c r="T31" s="6"/>
      <c r="U31" s="7"/>
      <c r="V31" s="6"/>
      <c r="W31" s="7"/>
      <c r="X31" s="6"/>
      <c r="Y31" s="7"/>
      <c r="Z31" s="6"/>
      <c r="AA31" s="7"/>
      <c r="AB31" s="6"/>
      <c r="AC31" s="7"/>
      <c r="AD31" s="6"/>
      <c r="AE31" s="7"/>
      <c r="AF31" s="6"/>
      <c r="AG31" s="7"/>
      <c r="AH31" s="6"/>
      <c r="AI31" s="7"/>
      <c r="AJ31" s="6"/>
      <c r="AK31" s="7"/>
      <c r="AL31" s="6"/>
      <c r="AM31" s="7"/>
      <c r="AN31" s="6"/>
      <c r="AO31" s="7"/>
      <c r="AP31" s="6"/>
      <c r="AQ31" s="7"/>
      <c r="AR31" s="6"/>
      <c r="AS31" s="7"/>
      <c r="AT31" s="6"/>
      <c r="AU31" s="7"/>
      <c r="AV31" s="6"/>
      <c r="AW31" s="7"/>
      <c r="AX31" s="6"/>
      <c r="AY31" s="7"/>
      <c r="AZ31" s="6"/>
      <c r="BA31" s="7"/>
      <c r="BB31" s="6"/>
      <c r="BC31" s="7"/>
      <c r="BD31" s="6"/>
      <c r="BE31" s="7"/>
      <c r="BF31" s="6"/>
      <c r="BG31" s="7"/>
      <c r="BH31" s="6"/>
      <c r="BI31" s="7"/>
      <c r="BJ31" s="6"/>
      <c r="BK31" s="7"/>
      <c r="BL31" s="6"/>
      <c r="BM31" s="7"/>
      <c r="BN31" s="6"/>
      <c r="BO31" s="7"/>
      <c r="BP31" s="6"/>
    </row>
    <row r="32" spans="1:68" outlineLevel="2" x14ac:dyDescent="0.35">
      <c r="A32" s="2"/>
      <c r="B32" s="2"/>
      <c r="C32" s="2"/>
      <c r="D32" s="2"/>
      <c r="E32" s="2"/>
      <c r="F32" s="2" t="s">
        <v>94</v>
      </c>
      <c r="G32" s="2"/>
      <c r="H32" s="6">
        <v>0</v>
      </c>
      <c r="I32" s="7"/>
      <c r="J32" s="6">
        <v>0</v>
      </c>
      <c r="K32" s="7"/>
      <c r="L32" s="6">
        <v>275</v>
      </c>
      <c r="M32" s="7"/>
      <c r="N32" s="6">
        <v>20000</v>
      </c>
      <c r="O32" s="7"/>
      <c r="P32" s="6">
        <v>0</v>
      </c>
      <c r="Q32" s="7"/>
      <c r="R32" s="6">
        <v>0</v>
      </c>
      <c r="S32" s="7"/>
      <c r="T32" s="6">
        <v>0</v>
      </c>
      <c r="U32" s="7"/>
      <c r="V32" s="6">
        <v>23603.21</v>
      </c>
      <c r="W32" s="7"/>
      <c r="X32" s="6">
        <v>1819.05</v>
      </c>
      <c r="Y32" s="7"/>
      <c r="Z32" s="6">
        <v>0</v>
      </c>
      <c r="AA32" s="7"/>
      <c r="AB32" s="6">
        <v>0</v>
      </c>
      <c r="AC32" s="7"/>
      <c r="AD32" s="6">
        <v>6586.04</v>
      </c>
      <c r="AE32" s="7"/>
      <c r="AF32" s="6">
        <v>3969.88</v>
      </c>
      <c r="AG32" s="7"/>
      <c r="AH32" s="6">
        <v>0</v>
      </c>
      <c r="AI32" s="7"/>
      <c r="AJ32" s="6">
        <v>0</v>
      </c>
      <c r="AK32" s="7"/>
      <c r="AL32" s="6">
        <v>0</v>
      </c>
      <c r="AM32" s="7"/>
      <c r="AN32" s="6">
        <v>0</v>
      </c>
      <c r="AO32" s="7"/>
      <c r="AP32" s="6">
        <v>0</v>
      </c>
      <c r="AQ32" s="7"/>
      <c r="AR32" s="6">
        <v>0</v>
      </c>
      <c r="AS32" s="7"/>
      <c r="AT32" s="6">
        <v>0</v>
      </c>
      <c r="AU32" s="7"/>
      <c r="AV32" s="6">
        <v>0</v>
      </c>
      <c r="AW32" s="7"/>
      <c r="AX32" s="6">
        <v>0</v>
      </c>
      <c r="AY32" s="7"/>
      <c r="AZ32" s="6">
        <v>0</v>
      </c>
      <c r="BA32" s="7"/>
      <c r="BB32" s="6">
        <v>0</v>
      </c>
      <c r="BC32" s="7"/>
      <c r="BD32" s="6">
        <v>0</v>
      </c>
      <c r="BE32" s="7"/>
      <c r="BF32" s="6">
        <v>0</v>
      </c>
      <c r="BG32" s="7"/>
      <c r="BH32" s="6">
        <v>0</v>
      </c>
      <c r="BI32" s="7"/>
      <c r="BJ32" s="6">
        <v>0</v>
      </c>
      <c r="BK32" s="7"/>
      <c r="BL32" s="6">
        <v>0</v>
      </c>
      <c r="BM32" s="7"/>
      <c r="BN32" s="6">
        <v>0</v>
      </c>
      <c r="BO32" s="7"/>
      <c r="BP32" s="6">
        <f t="shared" ref="BP32:BP42" si="1">ROUND(SUM(H32:BN32),5)</f>
        <v>56253.18</v>
      </c>
    </row>
    <row r="33" spans="1:68" outlineLevel="2" x14ac:dyDescent="0.35">
      <c r="A33" s="2"/>
      <c r="B33" s="2"/>
      <c r="C33" s="2"/>
      <c r="D33" s="2"/>
      <c r="E33" s="2"/>
      <c r="F33" s="2" t="s">
        <v>99</v>
      </c>
      <c r="G33" s="2"/>
      <c r="H33" s="6">
        <v>0</v>
      </c>
      <c r="I33" s="7"/>
      <c r="J33" s="6">
        <v>0</v>
      </c>
      <c r="K33" s="7"/>
      <c r="L33" s="6">
        <v>0</v>
      </c>
      <c r="M33" s="7"/>
      <c r="N33" s="6">
        <v>0</v>
      </c>
      <c r="O33" s="7"/>
      <c r="P33" s="6">
        <v>0</v>
      </c>
      <c r="Q33" s="7"/>
      <c r="R33" s="6">
        <v>0</v>
      </c>
      <c r="S33" s="7"/>
      <c r="T33" s="6">
        <v>0</v>
      </c>
      <c r="U33" s="7"/>
      <c r="V33" s="6">
        <v>1152</v>
      </c>
      <c r="W33" s="7"/>
      <c r="X33" s="6">
        <v>0</v>
      </c>
      <c r="Y33" s="7"/>
      <c r="Z33" s="6">
        <v>0</v>
      </c>
      <c r="AA33" s="7"/>
      <c r="AB33" s="6">
        <v>0</v>
      </c>
      <c r="AC33" s="7"/>
      <c r="AD33" s="6">
        <v>0</v>
      </c>
      <c r="AE33" s="7"/>
      <c r="AF33" s="6">
        <v>0</v>
      </c>
      <c r="AG33" s="7"/>
      <c r="AH33" s="6">
        <v>0</v>
      </c>
      <c r="AI33" s="7"/>
      <c r="AJ33" s="6">
        <v>0</v>
      </c>
      <c r="AK33" s="7"/>
      <c r="AL33" s="6">
        <v>0</v>
      </c>
      <c r="AM33" s="7"/>
      <c r="AN33" s="6">
        <v>0</v>
      </c>
      <c r="AO33" s="7"/>
      <c r="AP33" s="6">
        <v>0</v>
      </c>
      <c r="AQ33" s="7"/>
      <c r="AR33" s="6">
        <v>0</v>
      </c>
      <c r="AS33" s="7"/>
      <c r="AT33" s="6">
        <v>0</v>
      </c>
      <c r="AU33" s="7"/>
      <c r="AV33" s="6">
        <v>0</v>
      </c>
      <c r="AW33" s="7"/>
      <c r="AX33" s="6">
        <v>0</v>
      </c>
      <c r="AY33" s="7"/>
      <c r="AZ33" s="6">
        <v>0</v>
      </c>
      <c r="BA33" s="7"/>
      <c r="BB33" s="6">
        <v>0</v>
      </c>
      <c r="BC33" s="7"/>
      <c r="BD33" s="6">
        <v>0</v>
      </c>
      <c r="BE33" s="7"/>
      <c r="BF33" s="6">
        <v>0</v>
      </c>
      <c r="BG33" s="7"/>
      <c r="BH33" s="6">
        <v>0</v>
      </c>
      <c r="BI33" s="7"/>
      <c r="BJ33" s="6">
        <v>0</v>
      </c>
      <c r="BK33" s="7"/>
      <c r="BL33" s="6">
        <v>0</v>
      </c>
      <c r="BM33" s="7"/>
      <c r="BN33" s="6">
        <v>0</v>
      </c>
      <c r="BO33" s="7"/>
      <c r="BP33" s="6">
        <f t="shared" si="1"/>
        <v>1152</v>
      </c>
    </row>
    <row r="34" spans="1:68" outlineLevel="2" x14ac:dyDescent="0.35">
      <c r="A34" s="2"/>
      <c r="B34" s="2"/>
      <c r="C34" s="2"/>
      <c r="D34" s="2"/>
      <c r="E34" s="2"/>
      <c r="F34" s="2" t="s">
        <v>79</v>
      </c>
      <c r="G34" s="2"/>
      <c r="H34" s="6">
        <v>1422.48</v>
      </c>
      <c r="I34" s="7"/>
      <c r="J34" s="6">
        <v>6927.28</v>
      </c>
      <c r="K34" s="7"/>
      <c r="L34" s="6">
        <v>2890.02</v>
      </c>
      <c r="M34" s="7"/>
      <c r="N34" s="6">
        <v>1849.33</v>
      </c>
      <c r="O34" s="7"/>
      <c r="P34" s="6">
        <v>398.49</v>
      </c>
      <c r="Q34" s="7"/>
      <c r="R34" s="6">
        <v>0</v>
      </c>
      <c r="S34" s="7"/>
      <c r="T34" s="6">
        <v>0</v>
      </c>
      <c r="U34" s="7"/>
      <c r="V34" s="6">
        <v>307.52</v>
      </c>
      <c r="W34" s="7"/>
      <c r="X34" s="6">
        <v>1463.6</v>
      </c>
      <c r="Y34" s="7"/>
      <c r="Z34" s="6">
        <v>0</v>
      </c>
      <c r="AA34" s="7"/>
      <c r="AB34" s="6">
        <v>1909.88</v>
      </c>
      <c r="AC34" s="7"/>
      <c r="AD34" s="6">
        <v>2782.2</v>
      </c>
      <c r="AE34" s="7"/>
      <c r="AF34" s="6">
        <v>2663.01</v>
      </c>
      <c r="AG34" s="7"/>
      <c r="AH34" s="6">
        <v>16880.71</v>
      </c>
      <c r="AI34" s="7"/>
      <c r="AJ34" s="6">
        <v>49645.95</v>
      </c>
      <c r="AK34" s="7"/>
      <c r="AL34" s="6">
        <v>53102.85</v>
      </c>
      <c r="AM34" s="7"/>
      <c r="AN34" s="6">
        <v>25255.41</v>
      </c>
      <c r="AO34" s="7"/>
      <c r="AP34" s="6">
        <v>60098.8</v>
      </c>
      <c r="AQ34" s="7"/>
      <c r="AR34" s="6">
        <v>114093.03</v>
      </c>
      <c r="AS34" s="7"/>
      <c r="AT34" s="6">
        <v>138946.92000000001</v>
      </c>
      <c r="AU34" s="7"/>
      <c r="AV34" s="6">
        <v>117700.55</v>
      </c>
      <c r="AW34" s="7"/>
      <c r="AX34" s="6">
        <v>37862</v>
      </c>
      <c r="AY34" s="7"/>
      <c r="AZ34" s="6">
        <v>9603.65</v>
      </c>
      <c r="BA34" s="7"/>
      <c r="BB34" s="6">
        <v>-625852.88</v>
      </c>
      <c r="BC34" s="7"/>
      <c r="BD34" s="6">
        <v>2844.7</v>
      </c>
      <c r="BE34" s="7"/>
      <c r="BF34" s="6">
        <v>333.13</v>
      </c>
      <c r="BG34" s="7"/>
      <c r="BH34" s="6">
        <v>16828.45</v>
      </c>
      <c r="BI34" s="7"/>
      <c r="BJ34" s="6">
        <v>858.15</v>
      </c>
      <c r="BK34" s="7"/>
      <c r="BL34" s="6">
        <v>0</v>
      </c>
      <c r="BM34" s="7"/>
      <c r="BN34" s="6">
        <v>0</v>
      </c>
      <c r="BO34" s="7"/>
      <c r="BP34" s="6">
        <f t="shared" si="1"/>
        <v>40815.230000000003</v>
      </c>
    </row>
    <row r="35" spans="1:68" outlineLevel="2" x14ac:dyDescent="0.35">
      <c r="A35" s="2"/>
      <c r="B35" s="2"/>
      <c r="C35" s="2"/>
      <c r="D35" s="2"/>
      <c r="E35" s="2"/>
      <c r="F35" s="2" t="s">
        <v>80</v>
      </c>
      <c r="G35" s="2"/>
      <c r="H35" s="6">
        <v>0</v>
      </c>
      <c r="I35" s="7"/>
      <c r="J35" s="6">
        <v>0</v>
      </c>
      <c r="K35" s="7"/>
      <c r="L35" s="6">
        <v>0</v>
      </c>
      <c r="M35" s="7"/>
      <c r="N35" s="6">
        <v>0</v>
      </c>
      <c r="O35" s="7"/>
      <c r="P35" s="6">
        <v>0</v>
      </c>
      <c r="Q35" s="7"/>
      <c r="R35" s="6">
        <v>0</v>
      </c>
      <c r="S35" s="7"/>
      <c r="T35" s="6">
        <v>0</v>
      </c>
      <c r="U35" s="7"/>
      <c r="V35" s="6">
        <v>0</v>
      </c>
      <c r="W35" s="7"/>
      <c r="X35" s="6">
        <v>0</v>
      </c>
      <c r="Y35" s="7"/>
      <c r="Z35" s="6">
        <v>0</v>
      </c>
      <c r="AA35" s="7"/>
      <c r="AB35" s="6">
        <v>0</v>
      </c>
      <c r="AC35" s="7"/>
      <c r="AD35" s="6">
        <v>0</v>
      </c>
      <c r="AE35" s="7"/>
      <c r="AF35" s="6">
        <v>0</v>
      </c>
      <c r="AG35" s="7"/>
      <c r="AH35" s="6">
        <v>0</v>
      </c>
      <c r="AI35" s="7"/>
      <c r="AJ35" s="6">
        <v>0</v>
      </c>
      <c r="AK35" s="7"/>
      <c r="AL35" s="6">
        <v>0</v>
      </c>
      <c r="AM35" s="7"/>
      <c r="AN35" s="6">
        <v>0</v>
      </c>
      <c r="AO35" s="7"/>
      <c r="AP35" s="6">
        <v>0</v>
      </c>
      <c r="AQ35" s="7"/>
      <c r="AR35" s="6">
        <v>0</v>
      </c>
      <c r="AS35" s="7"/>
      <c r="AT35" s="6">
        <v>0</v>
      </c>
      <c r="AU35" s="7"/>
      <c r="AV35" s="6">
        <v>0</v>
      </c>
      <c r="AW35" s="7"/>
      <c r="AX35" s="6">
        <v>0</v>
      </c>
      <c r="AY35" s="7"/>
      <c r="AZ35" s="6">
        <v>0</v>
      </c>
      <c r="BA35" s="7"/>
      <c r="BB35" s="6">
        <v>0</v>
      </c>
      <c r="BC35" s="7"/>
      <c r="BD35" s="6">
        <v>0</v>
      </c>
      <c r="BE35" s="7"/>
      <c r="BF35" s="6">
        <v>0</v>
      </c>
      <c r="BG35" s="7"/>
      <c r="BH35" s="6">
        <v>3675.45</v>
      </c>
      <c r="BI35" s="7"/>
      <c r="BJ35" s="6">
        <v>0</v>
      </c>
      <c r="BK35" s="7"/>
      <c r="BL35" s="6">
        <v>0</v>
      </c>
      <c r="BM35" s="7"/>
      <c r="BN35" s="6">
        <v>0</v>
      </c>
      <c r="BO35" s="7"/>
      <c r="BP35" s="6">
        <f t="shared" si="1"/>
        <v>3675.45</v>
      </c>
    </row>
    <row r="36" spans="1:68" ht="15" outlineLevel="2" thickBot="1" x14ac:dyDescent="0.4">
      <c r="A36" s="2"/>
      <c r="B36" s="2"/>
      <c r="C36" s="2"/>
      <c r="D36" s="2"/>
      <c r="E36" s="2"/>
      <c r="F36" s="2" t="s">
        <v>81</v>
      </c>
      <c r="G36" s="2"/>
      <c r="H36" s="9">
        <v>0</v>
      </c>
      <c r="I36" s="7"/>
      <c r="J36" s="9">
        <v>0</v>
      </c>
      <c r="K36" s="7"/>
      <c r="L36" s="9">
        <v>0</v>
      </c>
      <c r="M36" s="7"/>
      <c r="N36" s="9">
        <v>0</v>
      </c>
      <c r="O36" s="7"/>
      <c r="P36" s="9">
        <v>0</v>
      </c>
      <c r="Q36" s="7"/>
      <c r="R36" s="9">
        <v>0</v>
      </c>
      <c r="S36" s="7"/>
      <c r="T36" s="9">
        <v>0</v>
      </c>
      <c r="U36" s="7"/>
      <c r="V36" s="9">
        <v>663.06</v>
      </c>
      <c r="W36" s="7"/>
      <c r="X36" s="9">
        <v>12944.53</v>
      </c>
      <c r="Y36" s="7"/>
      <c r="Z36" s="9">
        <v>0</v>
      </c>
      <c r="AA36" s="7"/>
      <c r="AB36" s="9">
        <v>12516</v>
      </c>
      <c r="AC36" s="7"/>
      <c r="AD36" s="9">
        <v>2824.5</v>
      </c>
      <c r="AE36" s="7"/>
      <c r="AF36" s="9">
        <v>0</v>
      </c>
      <c r="AG36" s="7"/>
      <c r="AH36" s="9">
        <v>0</v>
      </c>
      <c r="AI36" s="7"/>
      <c r="AJ36" s="9">
        <v>0</v>
      </c>
      <c r="AK36" s="7"/>
      <c r="AL36" s="9">
        <v>0</v>
      </c>
      <c r="AM36" s="7"/>
      <c r="AN36" s="9">
        <v>0</v>
      </c>
      <c r="AO36" s="7"/>
      <c r="AP36" s="9">
        <v>0</v>
      </c>
      <c r="AQ36" s="7"/>
      <c r="AR36" s="9">
        <v>0</v>
      </c>
      <c r="AS36" s="7"/>
      <c r="AT36" s="9">
        <v>0</v>
      </c>
      <c r="AU36" s="7"/>
      <c r="AV36" s="9">
        <v>0</v>
      </c>
      <c r="AW36" s="7"/>
      <c r="AX36" s="9">
        <v>0</v>
      </c>
      <c r="AY36" s="7"/>
      <c r="AZ36" s="9">
        <v>0</v>
      </c>
      <c r="BA36" s="7"/>
      <c r="BB36" s="9">
        <v>0</v>
      </c>
      <c r="BC36" s="7"/>
      <c r="BD36" s="9">
        <v>0</v>
      </c>
      <c r="BE36" s="7"/>
      <c r="BF36" s="9">
        <v>0</v>
      </c>
      <c r="BG36" s="7"/>
      <c r="BH36" s="9">
        <v>0</v>
      </c>
      <c r="BI36" s="7"/>
      <c r="BJ36" s="9">
        <v>0</v>
      </c>
      <c r="BK36" s="7"/>
      <c r="BL36" s="9">
        <v>0</v>
      </c>
      <c r="BM36" s="7"/>
      <c r="BN36" s="9">
        <v>0</v>
      </c>
      <c r="BO36" s="7"/>
      <c r="BP36" s="9">
        <f t="shared" si="1"/>
        <v>28948.09</v>
      </c>
    </row>
    <row r="37" spans="1:68" outlineLevel="1" x14ac:dyDescent="0.35">
      <c r="A37" s="2"/>
      <c r="B37" s="2"/>
      <c r="C37" s="2"/>
      <c r="D37" s="2"/>
      <c r="E37" s="2" t="s">
        <v>82</v>
      </c>
      <c r="F37" s="2"/>
      <c r="G37" s="2"/>
      <c r="H37" s="6">
        <f>ROUND(SUM(H31:H36),5)</f>
        <v>1422.48</v>
      </c>
      <c r="I37" s="7"/>
      <c r="J37" s="6">
        <f>ROUND(SUM(J31:J36),5)</f>
        <v>6927.28</v>
      </c>
      <c r="K37" s="7"/>
      <c r="L37" s="6">
        <f>ROUND(SUM(L31:L36),5)</f>
        <v>3165.02</v>
      </c>
      <c r="M37" s="7"/>
      <c r="N37" s="6">
        <f>ROUND(SUM(N31:N36),5)</f>
        <v>21849.33</v>
      </c>
      <c r="O37" s="7"/>
      <c r="P37" s="6">
        <f>ROUND(SUM(P31:P36),5)</f>
        <v>398.49</v>
      </c>
      <c r="Q37" s="7"/>
      <c r="R37" s="6">
        <f>ROUND(SUM(R31:R36),5)</f>
        <v>0</v>
      </c>
      <c r="S37" s="7"/>
      <c r="T37" s="6">
        <f>ROUND(SUM(T31:T36),5)</f>
        <v>0</v>
      </c>
      <c r="U37" s="7"/>
      <c r="V37" s="6">
        <f>ROUND(SUM(V31:V36),5)</f>
        <v>25725.79</v>
      </c>
      <c r="W37" s="7"/>
      <c r="X37" s="6">
        <f>ROUND(SUM(X31:X36),5)</f>
        <v>16227.18</v>
      </c>
      <c r="Y37" s="7"/>
      <c r="Z37" s="6">
        <f>ROUND(SUM(Z31:Z36),5)</f>
        <v>0</v>
      </c>
      <c r="AA37" s="7"/>
      <c r="AB37" s="6">
        <f>ROUND(SUM(AB31:AB36),5)</f>
        <v>14425.88</v>
      </c>
      <c r="AC37" s="7"/>
      <c r="AD37" s="6">
        <f>ROUND(SUM(AD31:AD36),5)</f>
        <v>12192.74</v>
      </c>
      <c r="AE37" s="7"/>
      <c r="AF37" s="6">
        <f>ROUND(SUM(AF31:AF36),5)</f>
        <v>6632.89</v>
      </c>
      <c r="AG37" s="7"/>
      <c r="AH37" s="6">
        <f>ROUND(SUM(AH31:AH36),5)</f>
        <v>16880.71</v>
      </c>
      <c r="AI37" s="7"/>
      <c r="AJ37" s="6">
        <f>ROUND(SUM(AJ31:AJ36),5)</f>
        <v>49645.95</v>
      </c>
      <c r="AK37" s="7"/>
      <c r="AL37" s="6">
        <f>ROUND(SUM(AL31:AL36),5)</f>
        <v>53102.85</v>
      </c>
      <c r="AM37" s="7"/>
      <c r="AN37" s="6">
        <f>ROUND(SUM(AN31:AN36),5)</f>
        <v>25255.41</v>
      </c>
      <c r="AO37" s="7"/>
      <c r="AP37" s="6">
        <f>ROUND(SUM(AP31:AP36),5)</f>
        <v>60098.8</v>
      </c>
      <c r="AQ37" s="7"/>
      <c r="AR37" s="6">
        <f>ROUND(SUM(AR31:AR36),5)</f>
        <v>114093.03</v>
      </c>
      <c r="AS37" s="7"/>
      <c r="AT37" s="6">
        <f>ROUND(SUM(AT31:AT36),5)</f>
        <v>138946.92000000001</v>
      </c>
      <c r="AU37" s="7"/>
      <c r="AV37" s="6">
        <f>ROUND(SUM(AV31:AV36),5)</f>
        <v>117700.55</v>
      </c>
      <c r="AW37" s="7"/>
      <c r="AX37" s="6">
        <f>ROUND(SUM(AX31:AX36),5)</f>
        <v>37862</v>
      </c>
      <c r="AY37" s="7"/>
      <c r="AZ37" s="6">
        <f>ROUND(SUM(AZ31:AZ36),5)</f>
        <v>9603.65</v>
      </c>
      <c r="BA37" s="7"/>
      <c r="BB37" s="6">
        <f>ROUND(SUM(BB31:BB36),5)</f>
        <v>-625852.88</v>
      </c>
      <c r="BC37" s="7"/>
      <c r="BD37" s="6">
        <f>ROUND(SUM(BD31:BD36),5)</f>
        <v>2844.7</v>
      </c>
      <c r="BE37" s="7"/>
      <c r="BF37" s="6">
        <f>ROUND(SUM(BF31:BF36),5)</f>
        <v>333.13</v>
      </c>
      <c r="BG37" s="7"/>
      <c r="BH37" s="6">
        <f>ROUND(SUM(BH31:BH36),5)</f>
        <v>20503.900000000001</v>
      </c>
      <c r="BI37" s="7"/>
      <c r="BJ37" s="6">
        <f>ROUND(SUM(BJ31:BJ36),5)</f>
        <v>858.15</v>
      </c>
      <c r="BK37" s="7"/>
      <c r="BL37" s="6">
        <f>ROUND(SUM(BL31:BL36),5)</f>
        <v>0</v>
      </c>
      <c r="BM37" s="7"/>
      <c r="BN37" s="6">
        <f>ROUND(SUM(BN31:BN36),5)</f>
        <v>0</v>
      </c>
      <c r="BO37" s="7"/>
      <c r="BP37" s="6">
        <f t="shared" si="1"/>
        <v>130843.95</v>
      </c>
    </row>
    <row r="38" spans="1:68" outlineLevel="1" x14ac:dyDescent="0.35">
      <c r="A38" s="2"/>
      <c r="B38" s="2"/>
      <c r="C38" s="2"/>
      <c r="D38" s="2"/>
      <c r="E38" s="2" t="s">
        <v>83</v>
      </c>
      <c r="F38" s="2"/>
      <c r="G38" s="2"/>
      <c r="H38" s="6">
        <v>0</v>
      </c>
      <c r="I38" s="7"/>
      <c r="J38" s="6">
        <v>0</v>
      </c>
      <c r="K38" s="7"/>
      <c r="L38" s="6">
        <v>0</v>
      </c>
      <c r="M38" s="7"/>
      <c r="N38" s="6">
        <v>0</v>
      </c>
      <c r="O38" s="7"/>
      <c r="P38" s="6">
        <v>0</v>
      </c>
      <c r="Q38" s="7"/>
      <c r="R38" s="6">
        <v>0</v>
      </c>
      <c r="S38" s="7"/>
      <c r="T38" s="6">
        <v>0</v>
      </c>
      <c r="U38" s="7"/>
      <c r="V38" s="6">
        <v>0</v>
      </c>
      <c r="W38" s="7"/>
      <c r="X38" s="6">
        <v>0</v>
      </c>
      <c r="Y38" s="7"/>
      <c r="Z38" s="6">
        <v>0</v>
      </c>
      <c r="AA38" s="7"/>
      <c r="AB38" s="6">
        <v>0</v>
      </c>
      <c r="AC38" s="7"/>
      <c r="AD38" s="6">
        <v>0</v>
      </c>
      <c r="AE38" s="7"/>
      <c r="AF38" s="6">
        <v>3336.76</v>
      </c>
      <c r="AG38" s="7"/>
      <c r="AH38" s="6">
        <v>1403.79</v>
      </c>
      <c r="AI38" s="7"/>
      <c r="AJ38" s="6">
        <v>0</v>
      </c>
      <c r="AK38" s="7"/>
      <c r="AL38" s="6">
        <v>0</v>
      </c>
      <c r="AM38" s="7"/>
      <c r="AN38" s="6">
        <v>0</v>
      </c>
      <c r="AO38" s="7"/>
      <c r="AP38" s="6">
        <v>0</v>
      </c>
      <c r="AQ38" s="7"/>
      <c r="AR38" s="6">
        <v>868.8</v>
      </c>
      <c r="AS38" s="7"/>
      <c r="AT38" s="6">
        <v>0</v>
      </c>
      <c r="AU38" s="7"/>
      <c r="AV38" s="6">
        <v>0</v>
      </c>
      <c r="AW38" s="7"/>
      <c r="AX38" s="6">
        <v>0</v>
      </c>
      <c r="AY38" s="7"/>
      <c r="AZ38" s="6">
        <v>0</v>
      </c>
      <c r="BA38" s="7"/>
      <c r="BB38" s="6">
        <v>317.63</v>
      </c>
      <c r="BC38" s="7"/>
      <c r="BD38" s="6">
        <v>752</v>
      </c>
      <c r="BE38" s="7"/>
      <c r="BF38" s="6">
        <v>0</v>
      </c>
      <c r="BG38" s="7"/>
      <c r="BH38" s="6">
        <v>2578.83</v>
      </c>
      <c r="BI38" s="7"/>
      <c r="BJ38" s="6">
        <v>6076.76</v>
      </c>
      <c r="BK38" s="7"/>
      <c r="BL38" s="6">
        <v>144.93</v>
      </c>
      <c r="BM38" s="7"/>
      <c r="BN38" s="6">
        <v>6739.51</v>
      </c>
      <c r="BO38" s="7"/>
      <c r="BP38" s="6">
        <f t="shared" si="1"/>
        <v>22219.01</v>
      </c>
    </row>
    <row r="39" spans="1:68" ht="15" outlineLevel="1" thickBot="1" x14ac:dyDescent="0.4">
      <c r="A39" s="2"/>
      <c r="B39" s="2"/>
      <c r="C39" s="2"/>
      <c r="D39" s="2"/>
      <c r="E39" s="2" t="s">
        <v>84</v>
      </c>
      <c r="F39" s="2"/>
      <c r="G39" s="2"/>
      <c r="H39" s="6">
        <v>0</v>
      </c>
      <c r="I39" s="7"/>
      <c r="J39" s="6">
        <v>0</v>
      </c>
      <c r="K39" s="7"/>
      <c r="L39" s="6">
        <v>0</v>
      </c>
      <c r="M39" s="7"/>
      <c r="N39" s="6">
        <v>0</v>
      </c>
      <c r="O39" s="7"/>
      <c r="P39" s="6">
        <v>0</v>
      </c>
      <c r="Q39" s="7"/>
      <c r="R39" s="6">
        <v>341.73</v>
      </c>
      <c r="S39" s="7"/>
      <c r="T39" s="6">
        <v>0</v>
      </c>
      <c r="U39" s="7"/>
      <c r="V39" s="6">
        <v>1476.34</v>
      </c>
      <c r="W39" s="7"/>
      <c r="X39" s="6">
        <v>260.51</v>
      </c>
      <c r="Y39" s="7"/>
      <c r="Z39" s="6">
        <v>3361.99</v>
      </c>
      <c r="AA39" s="7"/>
      <c r="AB39" s="6">
        <v>0</v>
      </c>
      <c r="AC39" s="7"/>
      <c r="AD39" s="6">
        <v>320</v>
      </c>
      <c r="AE39" s="7"/>
      <c r="AF39" s="6">
        <v>0</v>
      </c>
      <c r="AG39" s="7"/>
      <c r="AH39" s="6">
        <v>0</v>
      </c>
      <c r="AI39" s="7"/>
      <c r="AJ39" s="6">
        <v>0</v>
      </c>
      <c r="AK39" s="7"/>
      <c r="AL39" s="6">
        <v>0</v>
      </c>
      <c r="AM39" s="7"/>
      <c r="AN39" s="6">
        <v>0</v>
      </c>
      <c r="AO39" s="7"/>
      <c r="AP39" s="6">
        <v>0</v>
      </c>
      <c r="AQ39" s="7"/>
      <c r="AR39" s="6">
        <v>0</v>
      </c>
      <c r="AS39" s="7"/>
      <c r="AT39" s="6">
        <v>0</v>
      </c>
      <c r="AU39" s="7"/>
      <c r="AV39" s="6">
        <v>0</v>
      </c>
      <c r="AW39" s="7"/>
      <c r="AX39" s="6">
        <v>0</v>
      </c>
      <c r="AY39" s="7"/>
      <c r="AZ39" s="6">
        <v>0</v>
      </c>
      <c r="BA39" s="7"/>
      <c r="BB39" s="6">
        <v>0</v>
      </c>
      <c r="BC39" s="7"/>
      <c r="BD39" s="6">
        <v>0</v>
      </c>
      <c r="BE39" s="7"/>
      <c r="BF39" s="6">
        <v>0</v>
      </c>
      <c r="BG39" s="7"/>
      <c r="BH39" s="6">
        <v>0</v>
      </c>
      <c r="BI39" s="7"/>
      <c r="BJ39" s="6">
        <v>0</v>
      </c>
      <c r="BK39" s="7"/>
      <c r="BL39" s="6">
        <v>0</v>
      </c>
      <c r="BM39" s="7"/>
      <c r="BN39" s="6">
        <v>0</v>
      </c>
      <c r="BO39" s="7"/>
      <c r="BP39" s="6">
        <f t="shared" si="1"/>
        <v>5760.57</v>
      </c>
    </row>
    <row r="40" spans="1:68" ht="15" thickBot="1" x14ac:dyDescent="0.4">
      <c r="A40" s="2"/>
      <c r="B40" s="2"/>
      <c r="C40" s="2"/>
      <c r="D40" s="2" t="s">
        <v>85</v>
      </c>
      <c r="E40" s="2"/>
      <c r="F40" s="2"/>
      <c r="G40" s="2"/>
      <c r="H40" s="20">
        <f>ROUND(H23+SUM(H29:H30)+SUM(H37:H39),5)</f>
        <v>1422.48</v>
      </c>
      <c r="I40" s="7"/>
      <c r="J40" s="20">
        <f>ROUND(J23+SUM(J29:J30)+SUM(J37:J39),5)</f>
        <v>6927.28</v>
      </c>
      <c r="K40" s="7"/>
      <c r="L40" s="20">
        <f>ROUND(L23+SUM(L29:L30)+SUM(L37:L39),5)</f>
        <v>34127.78</v>
      </c>
      <c r="M40" s="7"/>
      <c r="N40" s="20">
        <f>ROUND(N23+SUM(N29:N30)+SUM(N37:N39),5)</f>
        <v>21849.33</v>
      </c>
      <c r="O40" s="7"/>
      <c r="P40" s="20">
        <f>ROUND(P23+SUM(P29:P30)+SUM(P37:P39),5)</f>
        <v>398.49</v>
      </c>
      <c r="Q40" s="7"/>
      <c r="R40" s="20">
        <f>ROUND(R23+SUM(R29:R30)+SUM(R37:R39),5)</f>
        <v>341.73</v>
      </c>
      <c r="S40" s="7"/>
      <c r="T40" s="20">
        <f>ROUND(T23+SUM(T29:T30)+SUM(T37:T39),5)</f>
        <v>0</v>
      </c>
      <c r="U40" s="7"/>
      <c r="V40" s="20">
        <f>ROUND(V23+SUM(V29:V30)+SUM(V37:V39),5)</f>
        <v>27202.13</v>
      </c>
      <c r="W40" s="7"/>
      <c r="X40" s="20">
        <f>ROUND(X23+SUM(X29:X30)+SUM(X37:X39),5)</f>
        <v>16487.689999999999</v>
      </c>
      <c r="Y40" s="7"/>
      <c r="Z40" s="20">
        <f>ROUND(Z23+SUM(Z29:Z30)+SUM(Z37:Z39),5)</f>
        <v>3361.99</v>
      </c>
      <c r="AA40" s="7"/>
      <c r="AB40" s="20">
        <f>ROUND(AB23+SUM(AB29:AB30)+SUM(AB37:AB39),5)</f>
        <v>14425.88</v>
      </c>
      <c r="AC40" s="7"/>
      <c r="AD40" s="20">
        <f>ROUND(AD23+SUM(AD29:AD30)+SUM(AD37:AD39),5)</f>
        <v>12512.74</v>
      </c>
      <c r="AE40" s="7"/>
      <c r="AF40" s="20">
        <f>ROUND(AF23+SUM(AF29:AF30)+SUM(AF37:AF39),5)</f>
        <v>9969.65</v>
      </c>
      <c r="AG40" s="7"/>
      <c r="AH40" s="20">
        <f>ROUND(AH23+SUM(AH29:AH30)+SUM(AH37:AH39),5)</f>
        <v>18284.5</v>
      </c>
      <c r="AI40" s="7"/>
      <c r="AJ40" s="20">
        <f>ROUND(AJ23+SUM(AJ29:AJ30)+SUM(AJ37:AJ39),5)</f>
        <v>83098.38</v>
      </c>
      <c r="AK40" s="7"/>
      <c r="AL40" s="20">
        <f>ROUND(AL23+SUM(AL29:AL30)+SUM(AL37:AL39),5)</f>
        <v>53102.85</v>
      </c>
      <c r="AM40" s="7"/>
      <c r="AN40" s="20">
        <f>ROUND(AN23+SUM(AN29:AN30)+SUM(AN37:AN39),5)</f>
        <v>25255.41</v>
      </c>
      <c r="AO40" s="7"/>
      <c r="AP40" s="20">
        <f>ROUND(AP23+SUM(AP29:AP30)+SUM(AP37:AP39),5)</f>
        <v>60098.8</v>
      </c>
      <c r="AQ40" s="7"/>
      <c r="AR40" s="20">
        <f>ROUND(AR23+SUM(AR29:AR30)+SUM(AR37:AR39),5)</f>
        <v>114961.83</v>
      </c>
      <c r="AS40" s="7"/>
      <c r="AT40" s="20">
        <f>ROUND(AT23+SUM(AT29:AT30)+SUM(AT37:AT39),5)</f>
        <v>138946.92000000001</v>
      </c>
      <c r="AU40" s="7"/>
      <c r="AV40" s="20">
        <f>ROUND(AV23+SUM(AV29:AV30)+SUM(AV37:AV39),5)</f>
        <v>117700.55</v>
      </c>
      <c r="AW40" s="7"/>
      <c r="AX40" s="20">
        <f>ROUND(AX23+SUM(AX29:AX30)+SUM(AX37:AX39),5)</f>
        <v>38678.660000000003</v>
      </c>
      <c r="AY40" s="7"/>
      <c r="AZ40" s="20">
        <f>ROUND(AZ23+SUM(AZ29:AZ30)+SUM(AZ37:AZ39),5)</f>
        <v>11314.84</v>
      </c>
      <c r="BA40" s="7"/>
      <c r="BB40" s="20">
        <f>ROUND(BB23+SUM(BB29:BB30)+SUM(BB37:BB39),5)</f>
        <v>-623824.06000000006</v>
      </c>
      <c r="BC40" s="7"/>
      <c r="BD40" s="20">
        <f>ROUND(BD23+SUM(BD29:BD30)+SUM(BD37:BD39),5)</f>
        <v>5307.89</v>
      </c>
      <c r="BE40" s="7"/>
      <c r="BF40" s="20">
        <f>ROUND(BF23+SUM(BF29:BF30)+SUM(BF37:BF39),5)</f>
        <v>2044.32</v>
      </c>
      <c r="BG40" s="7"/>
      <c r="BH40" s="20">
        <f>ROUND(BH23+SUM(BH29:BH30)+SUM(BH37:BH39),5)</f>
        <v>56627.25</v>
      </c>
      <c r="BI40" s="7"/>
      <c r="BJ40" s="20">
        <f>ROUND(BJ23+SUM(BJ29:BJ30)+SUM(BJ37:BJ39),5)</f>
        <v>8646.1</v>
      </c>
      <c r="BK40" s="7"/>
      <c r="BL40" s="20">
        <f>ROUND(BL23+SUM(BL29:BL30)+SUM(BL37:BL39),5)</f>
        <v>1856.12</v>
      </c>
      <c r="BM40" s="7"/>
      <c r="BN40" s="20">
        <f>ROUND(BN23+SUM(BN29:BN30)+SUM(BN37:BN39),5)</f>
        <v>7842.32</v>
      </c>
      <c r="BO40" s="7"/>
      <c r="BP40" s="20">
        <f t="shared" si="1"/>
        <v>268969.84999999998</v>
      </c>
    </row>
    <row r="41" spans="1:68" ht="15" thickBot="1" x14ac:dyDescent="0.4">
      <c r="A41" s="2"/>
      <c r="B41" s="2" t="s">
        <v>86</v>
      </c>
      <c r="C41" s="2"/>
      <c r="D41" s="2"/>
      <c r="E41" s="2"/>
      <c r="F41" s="2"/>
      <c r="G41" s="2"/>
      <c r="H41" s="20">
        <f>ROUND(H2+H22-H40,5)</f>
        <v>5660.96</v>
      </c>
      <c r="I41" s="7"/>
      <c r="J41" s="20">
        <f>ROUND(J2+J22-J40,5)</f>
        <v>202.12</v>
      </c>
      <c r="K41" s="7"/>
      <c r="L41" s="20">
        <f>ROUND(L2+L22-L40,5)</f>
        <v>-26997.3</v>
      </c>
      <c r="M41" s="7"/>
      <c r="N41" s="20">
        <f>ROUND(N2+N22-N40,5)</f>
        <v>-14752.81</v>
      </c>
      <c r="O41" s="7"/>
      <c r="P41" s="20">
        <f>ROUND(P2+P22-P40,5)</f>
        <v>6680.32</v>
      </c>
      <c r="Q41" s="7"/>
      <c r="R41" s="20">
        <f>ROUND(R2+R22-R40,5)</f>
        <v>6766.62</v>
      </c>
      <c r="S41" s="7"/>
      <c r="T41" s="20">
        <f>ROUND(T2+T22-T40,5)</f>
        <v>7072.77</v>
      </c>
      <c r="U41" s="7"/>
      <c r="V41" s="20">
        <f>ROUND(V2+V22-V40,5)</f>
        <v>-19846.37</v>
      </c>
      <c r="W41" s="7"/>
      <c r="X41" s="20">
        <f>ROUND(X2+X22-X40,5)</f>
        <v>-9523.48</v>
      </c>
      <c r="Y41" s="7"/>
      <c r="Z41" s="20">
        <f>ROUND(Z2+Z22-Z40,5)</f>
        <v>3511.74</v>
      </c>
      <c r="AA41" s="7"/>
      <c r="AB41" s="20">
        <f>ROUND(AB2+AB22-AB40,5)</f>
        <v>-7551.99</v>
      </c>
      <c r="AC41" s="7"/>
      <c r="AD41" s="20">
        <f>ROUND(AD2+AD22-AD40,5)</f>
        <v>-5655.7</v>
      </c>
      <c r="AE41" s="7"/>
      <c r="AF41" s="20">
        <f>ROUND(AF2+AF22-AF40,5)</f>
        <v>566.19000000000005</v>
      </c>
      <c r="AG41" s="7"/>
      <c r="AH41" s="20">
        <f>ROUND(AH2+AH22-AH40,5)</f>
        <v>-11444.18</v>
      </c>
      <c r="AI41" s="7"/>
      <c r="AJ41" s="20">
        <f>ROUND(AJ2+AJ22-AJ40,5)</f>
        <v>-76254.27</v>
      </c>
      <c r="AK41" s="7"/>
      <c r="AL41" s="20">
        <f>ROUND(AL2+AL22-AL40,5)</f>
        <v>-45884.41</v>
      </c>
      <c r="AM41" s="7"/>
      <c r="AN41" s="20">
        <f>ROUND(AN2+AN22-AN40,5)</f>
        <v>-18401.54</v>
      </c>
      <c r="AO41" s="7"/>
      <c r="AP41" s="20">
        <f>ROUND(AP2+AP22-AP40,5)</f>
        <v>-53244.13</v>
      </c>
      <c r="AQ41" s="7"/>
      <c r="AR41" s="20">
        <f>ROUND(AR2+AR22-AR40,5)</f>
        <v>-106328.5</v>
      </c>
      <c r="AS41" s="7"/>
      <c r="AT41" s="20">
        <f>ROUND(AT2+AT22-AT40,5)</f>
        <v>-132111.94</v>
      </c>
      <c r="AU41" s="7"/>
      <c r="AV41" s="20">
        <f>ROUND(AV2+AV22-AV40,5)</f>
        <v>-110869.56</v>
      </c>
      <c r="AW41" s="7"/>
      <c r="AX41" s="20">
        <f>ROUND(AX2+AX22-AX40,5)</f>
        <v>-31848.68</v>
      </c>
      <c r="AY41" s="7"/>
      <c r="AZ41" s="20">
        <f>ROUND(AZ2+AZ22-AZ40,5)</f>
        <v>-4406.87</v>
      </c>
      <c r="BA41" s="7"/>
      <c r="BB41" s="20">
        <f>ROUND(BB2+BB22-BB40,5)</f>
        <v>630700.28</v>
      </c>
      <c r="BC41" s="7"/>
      <c r="BD41" s="20">
        <f>ROUND(BD2+BD22-BD40,5)</f>
        <v>2903.35</v>
      </c>
      <c r="BE41" s="7"/>
      <c r="BF41" s="20">
        <f>ROUND(BF2+BF22-BF40,5)</f>
        <v>4799.84</v>
      </c>
      <c r="BG41" s="7"/>
      <c r="BH41" s="20">
        <f>ROUND(BH2+BH22-BH40,5)</f>
        <v>-49976.63</v>
      </c>
      <c r="BI41" s="7"/>
      <c r="BJ41" s="20">
        <f>ROUND(BJ2+BJ22-BJ40,5)</f>
        <v>-1831.25</v>
      </c>
      <c r="BK41" s="7"/>
      <c r="BL41" s="20">
        <f>ROUND(BL2+BL22-BL40,5)</f>
        <v>8115.5</v>
      </c>
      <c r="BM41" s="7"/>
      <c r="BN41" s="20">
        <f>ROUND(BN2+BN22-BN40,5)</f>
        <v>4421.34</v>
      </c>
      <c r="BO41" s="7"/>
      <c r="BP41" s="20">
        <f t="shared" si="1"/>
        <v>-45528.58</v>
      </c>
    </row>
    <row r="42" spans="1:68" s="15" customFormat="1" ht="11" thickBot="1" x14ac:dyDescent="0.3">
      <c r="A42" s="2" t="s">
        <v>88</v>
      </c>
      <c r="B42" s="2"/>
      <c r="C42" s="2"/>
      <c r="D42" s="2"/>
      <c r="E42" s="2"/>
      <c r="F42" s="2"/>
      <c r="G42" s="2"/>
      <c r="H42" s="13">
        <f>H41</f>
        <v>5660.96</v>
      </c>
      <c r="I42" s="2"/>
      <c r="J42" s="13">
        <f>J41</f>
        <v>202.12</v>
      </c>
      <c r="K42" s="2"/>
      <c r="L42" s="13">
        <f>L41</f>
        <v>-26997.3</v>
      </c>
      <c r="M42" s="2"/>
      <c r="N42" s="13">
        <f>N41</f>
        <v>-14752.81</v>
      </c>
      <c r="O42" s="2"/>
      <c r="P42" s="13">
        <f>P41</f>
        <v>6680.32</v>
      </c>
      <c r="Q42" s="2"/>
      <c r="R42" s="13">
        <f>R41</f>
        <v>6766.62</v>
      </c>
      <c r="S42" s="2"/>
      <c r="T42" s="13">
        <f>T41</f>
        <v>7072.77</v>
      </c>
      <c r="U42" s="2"/>
      <c r="V42" s="13">
        <f>V41</f>
        <v>-19846.37</v>
      </c>
      <c r="W42" s="2"/>
      <c r="X42" s="13">
        <f>X41</f>
        <v>-9523.48</v>
      </c>
      <c r="Y42" s="2"/>
      <c r="Z42" s="13">
        <f>Z41</f>
        <v>3511.74</v>
      </c>
      <c r="AA42" s="2"/>
      <c r="AB42" s="13">
        <f>AB41</f>
        <v>-7551.99</v>
      </c>
      <c r="AC42" s="2"/>
      <c r="AD42" s="13">
        <f>AD41</f>
        <v>-5655.7</v>
      </c>
      <c r="AE42" s="2"/>
      <c r="AF42" s="13">
        <f>AF41</f>
        <v>566.19000000000005</v>
      </c>
      <c r="AG42" s="2"/>
      <c r="AH42" s="13">
        <f>AH41</f>
        <v>-11444.18</v>
      </c>
      <c r="AI42" s="2"/>
      <c r="AJ42" s="13">
        <f>AJ41</f>
        <v>-76254.27</v>
      </c>
      <c r="AK42" s="2"/>
      <c r="AL42" s="13">
        <f>AL41</f>
        <v>-45884.41</v>
      </c>
      <c r="AM42" s="2"/>
      <c r="AN42" s="13">
        <f>AN41</f>
        <v>-18401.54</v>
      </c>
      <c r="AO42" s="2"/>
      <c r="AP42" s="13">
        <f>AP41</f>
        <v>-53244.13</v>
      </c>
      <c r="AQ42" s="2"/>
      <c r="AR42" s="13">
        <f>AR41</f>
        <v>-106328.5</v>
      </c>
      <c r="AS42" s="2"/>
      <c r="AT42" s="13">
        <f>AT41</f>
        <v>-132111.94</v>
      </c>
      <c r="AU42" s="2"/>
      <c r="AV42" s="13">
        <f>AV41</f>
        <v>-110869.56</v>
      </c>
      <c r="AW42" s="2"/>
      <c r="AX42" s="13">
        <f>AX41</f>
        <v>-31848.68</v>
      </c>
      <c r="AY42" s="2"/>
      <c r="AZ42" s="13">
        <f>AZ41</f>
        <v>-4406.87</v>
      </c>
      <c r="BA42" s="2"/>
      <c r="BB42" s="13">
        <f>BB41</f>
        <v>630700.28</v>
      </c>
      <c r="BC42" s="2"/>
      <c r="BD42" s="13">
        <f>BD41</f>
        <v>2903.35</v>
      </c>
      <c r="BE42" s="2"/>
      <c r="BF42" s="13">
        <f>BF41</f>
        <v>4799.84</v>
      </c>
      <c r="BG42" s="2"/>
      <c r="BH42" s="13">
        <f>BH41</f>
        <v>-49976.63</v>
      </c>
      <c r="BI42" s="2"/>
      <c r="BJ42" s="13">
        <f>BJ41</f>
        <v>-1831.25</v>
      </c>
      <c r="BK42" s="2"/>
      <c r="BL42" s="13">
        <f>BL41</f>
        <v>8115.5</v>
      </c>
      <c r="BM42" s="2"/>
      <c r="BN42" s="13">
        <f>BN41</f>
        <v>4421.34</v>
      </c>
      <c r="BO42" s="2"/>
      <c r="BP42" s="13">
        <f t="shared" si="1"/>
        <v>-45528.58</v>
      </c>
    </row>
    <row r="43" spans="1:68" ht="15" thickTop="1" x14ac:dyDescent="0.35"/>
  </sheetData>
  <pageMargins left="0.7" right="0.7" top="0.75" bottom="0.75" header="0.1" footer="0.3"/>
  <pageSetup orientation="portrait" r:id="rId1"/>
  <headerFooter>
    <oddHeader>&amp;L&amp;"Arial,Bold"&amp;8 9:14 PM
&amp;"Arial,Bold"&amp;8 01/25/22
&amp;"Arial,Bold"&amp;8 Accrual Basis&amp;C&amp;"Arial,Bold"&amp;12 Dockton Water Association
&amp;"Arial,Bold"&amp;14 Profit &amp;&amp; Loss
&amp;"Arial,Bold"&amp;10 July 2019 through December 2021</oddHeader>
    <oddFooter>&amp;R&amp;"Arial,Bold"&amp;8 Page &amp;P of &amp;N</oddFooter>
  </headerFooter>
  <drawing r:id="rId2"/>
  <legacyDrawing r:id="rId3"/>
  <controls>
    <mc:AlternateContent xmlns:mc="http://schemas.openxmlformats.org/markup-compatibility/2006">
      <mc:Choice Requires="x14">
        <control shapeId="22529" r:id="rId4" name="FILTER">
          <controlPr defaultSize="0" autoLine="0" r:id="rId5">
            <anchor moveWithCells="1">
              <from>
                <xdr:col>0</xdr:col>
                <xdr:colOff>0</xdr:colOff>
                <xdr:row>0</xdr:row>
                <xdr:rowOff>0</xdr:rowOff>
              </from>
              <to>
                <xdr:col>4</xdr:col>
                <xdr:colOff>76200</xdr:colOff>
                <xdr:row>1</xdr:row>
                <xdr:rowOff>38100</xdr:rowOff>
              </to>
            </anchor>
          </controlPr>
        </control>
      </mc:Choice>
      <mc:Fallback>
        <control shapeId="22529" r:id="rId4" name="FILTER"/>
      </mc:Fallback>
    </mc:AlternateContent>
    <mc:AlternateContent xmlns:mc="http://schemas.openxmlformats.org/markup-compatibility/2006">
      <mc:Choice Requires="x14">
        <control shapeId="22530" r:id="rId6" name="HEADER">
          <controlPr defaultSize="0" autoLine="0" r:id="rId7">
            <anchor moveWithCells="1">
              <from>
                <xdr:col>0</xdr:col>
                <xdr:colOff>0</xdr:colOff>
                <xdr:row>0</xdr:row>
                <xdr:rowOff>0</xdr:rowOff>
              </from>
              <to>
                <xdr:col>4</xdr:col>
                <xdr:colOff>76200</xdr:colOff>
                <xdr:row>1</xdr:row>
                <xdr:rowOff>38100</xdr:rowOff>
              </to>
            </anchor>
          </controlPr>
        </control>
      </mc:Choice>
      <mc:Fallback>
        <control shapeId="22530" r:id="rId6" name="HEADER"/>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64"/>
  <sheetViews>
    <sheetView topLeftCell="B1" zoomScale="131" workbookViewId="0">
      <selection activeCell="R59" sqref="R59"/>
    </sheetView>
  </sheetViews>
  <sheetFormatPr defaultColWidth="8.90625" defaultRowHeight="11.5" outlineLevelRow="4" outlineLevelCol="1" x14ac:dyDescent="0.25"/>
  <cols>
    <col min="1" max="6" width="3" style="29" customWidth="1"/>
    <col min="7" max="7" width="27.90625" style="29" customWidth="1"/>
    <col min="8" max="8" width="9.90625" style="30" customWidth="1" outlineLevel="1"/>
    <col min="9" max="9" width="9.90625" style="30" hidden="1" customWidth="1" outlineLevel="1"/>
    <col min="10" max="10" width="9.90625" style="30" hidden="1" customWidth="1"/>
    <col min="11" max="11" width="1" style="30" hidden="1" customWidth="1"/>
    <col min="12" max="12" width="9.90625" style="30" customWidth="1" outlineLevel="1"/>
    <col min="13" max="13" width="9.90625" style="30" hidden="1" customWidth="1" outlineLevel="1"/>
    <col min="14" max="14" width="9.90625" style="30" hidden="1" customWidth="1"/>
    <col min="15" max="15" width="1.08984375" style="30" hidden="1" customWidth="1"/>
    <col min="16" max="16" width="9.90625" style="30" hidden="1" customWidth="1" outlineLevel="1"/>
    <col min="17" max="18" width="9.36328125" style="31" customWidth="1" outlineLevel="1"/>
    <col min="19" max="19" width="9.90625" style="30" customWidth="1" outlineLevel="1"/>
    <col min="20" max="20" width="9.90625" style="30" customWidth="1"/>
    <col min="21" max="21" width="0.90625" style="30" hidden="1" customWidth="1"/>
    <col min="22" max="22" width="7.36328125" style="30" hidden="1" customWidth="1"/>
    <col min="23" max="23" width="7.36328125" style="220" customWidth="1"/>
    <col min="24" max="24" width="11.90625" style="31" customWidth="1"/>
    <col min="25" max="25" width="8.90625" style="31" customWidth="1"/>
    <col min="26" max="26" width="41.54296875" style="30" customWidth="1"/>
    <col min="27" max="16384" width="8.90625" style="30"/>
  </cols>
  <sheetData>
    <row r="1" spans="1:26" ht="12" thickBot="1" x14ac:dyDescent="0.3"/>
    <row r="2" spans="1:26" ht="15" customHeight="1" thickBot="1" x14ac:dyDescent="0.3">
      <c r="B2" s="32" t="s">
        <v>192</v>
      </c>
      <c r="C2" s="33"/>
      <c r="D2" s="33"/>
      <c r="E2" s="33"/>
      <c r="F2" s="33"/>
      <c r="G2" s="33"/>
      <c r="H2" s="34" t="s">
        <v>146</v>
      </c>
      <c r="I2" s="35"/>
      <c r="J2" s="36"/>
      <c r="K2" s="37"/>
      <c r="L2" s="34" t="s">
        <v>148</v>
      </c>
      <c r="M2" s="35"/>
      <c r="N2" s="36"/>
      <c r="O2" s="37"/>
      <c r="P2" s="38" t="s">
        <v>143</v>
      </c>
      <c r="Q2" s="430" t="s">
        <v>154</v>
      </c>
      <c r="R2" s="431"/>
      <c r="S2" s="431"/>
      <c r="T2" s="432"/>
      <c r="U2" s="37"/>
      <c r="V2" s="36" t="s">
        <v>151</v>
      </c>
      <c r="W2" s="221"/>
      <c r="X2" s="217" t="s">
        <v>151</v>
      </c>
      <c r="Y2" s="214"/>
    </row>
    <row r="3" spans="1:26" s="48" customFormat="1" ht="23.75" customHeight="1" thickTop="1" thickBot="1" x14ac:dyDescent="0.3">
      <c r="A3" s="39"/>
      <c r="B3" s="89"/>
      <c r="C3" s="90"/>
      <c r="D3" s="40"/>
      <c r="E3" s="40"/>
      <c r="F3" s="40"/>
      <c r="G3" s="40"/>
      <c r="H3" s="41" t="s">
        <v>147</v>
      </c>
      <c r="I3" s="42" t="s">
        <v>5</v>
      </c>
      <c r="J3" s="43" t="s">
        <v>149</v>
      </c>
      <c r="K3" s="44"/>
      <c r="L3" s="41" t="s">
        <v>147</v>
      </c>
      <c r="M3" s="42" t="s">
        <v>5</v>
      </c>
      <c r="N3" s="43" t="s">
        <v>149</v>
      </c>
      <c r="O3" s="44"/>
      <c r="P3" s="45" t="s">
        <v>144</v>
      </c>
      <c r="Q3" s="46" t="s">
        <v>155</v>
      </c>
      <c r="R3" s="46" t="s">
        <v>147</v>
      </c>
      <c r="S3" s="42" t="s">
        <v>5</v>
      </c>
      <c r="T3" s="47" t="s">
        <v>149</v>
      </c>
      <c r="U3" s="44"/>
      <c r="V3" s="43" t="s">
        <v>152</v>
      </c>
      <c r="W3" s="222"/>
      <c r="X3" s="179" t="s">
        <v>206</v>
      </c>
      <c r="Y3" s="215" t="s">
        <v>263</v>
      </c>
      <c r="Z3" s="48" t="s">
        <v>150</v>
      </c>
    </row>
    <row r="4" spans="1:26" ht="12" thickTop="1" x14ac:dyDescent="0.25">
      <c r="B4" s="49"/>
      <c r="C4" s="50"/>
      <c r="D4" s="50" t="s">
        <v>8</v>
      </c>
      <c r="E4" s="50"/>
      <c r="F4" s="50"/>
      <c r="G4" s="50"/>
      <c r="H4" s="51"/>
      <c r="I4" s="52"/>
      <c r="J4" s="53"/>
      <c r="K4" s="52"/>
      <c r="L4" s="51"/>
      <c r="M4" s="52"/>
      <c r="N4" s="53"/>
      <c r="O4" s="52"/>
      <c r="P4" s="54"/>
      <c r="Q4" s="55"/>
      <c r="R4" s="55"/>
      <c r="S4" s="52"/>
      <c r="T4" s="53"/>
      <c r="U4" s="52"/>
      <c r="V4" s="53"/>
      <c r="W4" s="219"/>
      <c r="X4" s="77"/>
      <c r="Y4" s="216"/>
    </row>
    <row r="5" spans="1:26" outlineLevel="2" x14ac:dyDescent="0.25">
      <c r="B5" s="49"/>
      <c r="C5" s="50"/>
      <c r="D5" s="50"/>
      <c r="E5" s="50" t="s">
        <v>9</v>
      </c>
      <c r="F5" s="50"/>
      <c r="G5" s="50"/>
      <c r="H5" s="51"/>
      <c r="I5" s="52"/>
      <c r="J5" s="53"/>
      <c r="K5" s="52"/>
      <c r="L5" s="51"/>
      <c r="M5" s="52"/>
      <c r="N5" s="53"/>
      <c r="O5" s="52"/>
      <c r="P5" s="54"/>
      <c r="Q5" s="55"/>
      <c r="R5" s="55"/>
      <c r="S5" s="52"/>
      <c r="T5" s="53"/>
      <c r="U5" s="52"/>
      <c r="V5" s="53"/>
      <c r="W5" s="219"/>
      <c r="X5" s="77"/>
      <c r="Y5" s="216"/>
    </row>
    <row r="6" spans="1:26" outlineLevel="2" x14ac:dyDescent="0.25">
      <c r="B6" s="49"/>
      <c r="C6" s="50"/>
      <c r="D6" s="50"/>
      <c r="E6" s="50"/>
      <c r="F6" s="50" t="s">
        <v>158</v>
      </c>
      <c r="G6" s="50"/>
      <c r="H6" s="51">
        <v>159400</v>
      </c>
      <c r="I6" s="52">
        <v>156000</v>
      </c>
      <c r="J6" s="53">
        <f>ROUND((H6-I6),5)</f>
        <v>3400</v>
      </c>
      <c r="K6" s="52"/>
      <c r="L6" s="51">
        <v>162030</v>
      </c>
      <c r="M6" s="52">
        <v>159200</v>
      </c>
      <c r="N6" s="53">
        <f>ROUND((L6-M6),5)</f>
        <v>2830</v>
      </c>
      <c r="O6" s="52"/>
      <c r="P6" s="54">
        <v>192297.86</v>
      </c>
      <c r="Q6" s="55">
        <f>'2022 Forecast Fix'!J6</f>
        <v>177679</v>
      </c>
      <c r="R6" s="55">
        <v>176657</v>
      </c>
      <c r="S6" s="52">
        <f>163000+12150</f>
        <v>175150</v>
      </c>
      <c r="T6" s="53">
        <f>ROUND((R6-S6),5)</f>
        <v>1507</v>
      </c>
      <c r="U6" s="52"/>
      <c r="V6" s="53">
        <v>200000</v>
      </c>
      <c r="W6" s="219">
        <f>T6/S6</f>
        <v>8.6040536682843276E-3</v>
      </c>
      <c r="X6" s="77">
        <v>180000</v>
      </c>
      <c r="Y6" s="218">
        <f>(X6/R6)-1</f>
        <v>1.8923676955908908E-2</v>
      </c>
      <c r="Z6" s="30" t="s">
        <v>160</v>
      </c>
    </row>
    <row r="7" spans="1:26" outlineLevel="2" x14ac:dyDescent="0.25">
      <c r="B7" s="49"/>
      <c r="C7" s="50"/>
      <c r="D7" s="50"/>
      <c r="E7" s="50"/>
      <c r="F7" s="50" t="s">
        <v>159</v>
      </c>
      <c r="G7" s="50"/>
      <c r="H7" s="51">
        <v>816</v>
      </c>
      <c r="I7" s="52">
        <v>800</v>
      </c>
      <c r="J7" s="53">
        <f>ROUND((H7-I7),5)</f>
        <v>16</v>
      </c>
      <c r="K7" s="52"/>
      <c r="L7" s="51">
        <v>816</v>
      </c>
      <c r="M7" s="52">
        <v>800</v>
      </c>
      <c r="N7" s="53">
        <f>ROUND((L7-M7),5)</f>
        <v>16</v>
      </c>
      <c r="O7" s="52"/>
      <c r="P7" s="54">
        <v>884</v>
      </c>
      <c r="Q7" s="55">
        <f>'2022 Forecast Fix'!J7</f>
        <v>816</v>
      </c>
      <c r="R7" s="55">
        <f>'2022 Forecast Fix'!J7</f>
        <v>816</v>
      </c>
      <c r="S7" s="52">
        <v>850</v>
      </c>
      <c r="T7" s="53">
        <f>ROUND((R7-S7),5)</f>
        <v>-34</v>
      </c>
      <c r="U7" s="52"/>
      <c r="V7" s="53">
        <v>900</v>
      </c>
      <c r="W7" s="219">
        <f t="shared" ref="W7:W64" si="0">T7/S7</f>
        <v>-0.04</v>
      </c>
      <c r="X7" s="77">
        <v>900</v>
      </c>
      <c r="Y7" s="218">
        <f t="shared" ref="Y7:Y64" si="1">(X7/R7)-1</f>
        <v>0.10294117647058831</v>
      </c>
    </row>
    <row r="8" spans="1:26" outlineLevel="2" x14ac:dyDescent="0.25">
      <c r="B8" s="49"/>
      <c r="C8" s="50"/>
      <c r="D8" s="50"/>
      <c r="E8" s="50"/>
      <c r="F8" s="50" t="s">
        <v>161</v>
      </c>
      <c r="G8" s="50"/>
      <c r="H8" s="51">
        <v>47644</v>
      </c>
      <c r="I8" s="52">
        <v>56400</v>
      </c>
      <c r="J8" s="53">
        <f>ROUND((H8-I8),5)</f>
        <v>-8756</v>
      </c>
      <c r="K8" s="52"/>
      <c r="L8" s="51">
        <v>49188</v>
      </c>
      <c r="M8" s="52">
        <v>50000</v>
      </c>
      <c r="N8" s="53">
        <f>ROUND((L8-M8),5)</f>
        <v>-812</v>
      </c>
      <c r="O8" s="52"/>
      <c r="P8" s="54">
        <v>64591.76</v>
      </c>
      <c r="Q8" s="55">
        <f>'2022 Forecast Fix'!J8</f>
        <v>63292</v>
      </c>
      <c r="R8" s="55">
        <v>60898</v>
      </c>
      <c r="S8" s="52">
        <v>59000</v>
      </c>
      <c r="T8" s="53">
        <f>ROUND((R8-S8),5)</f>
        <v>1898</v>
      </c>
      <c r="U8" s="52"/>
      <c r="V8" s="53">
        <v>81000</v>
      </c>
      <c r="W8" s="219">
        <f t="shared" si="0"/>
        <v>3.2169491525423727E-2</v>
      </c>
      <c r="X8" s="77">
        <v>78000</v>
      </c>
      <c r="Y8" s="218">
        <f t="shared" si="1"/>
        <v>0.28083024073040175</v>
      </c>
      <c r="Z8" s="30" t="s">
        <v>205</v>
      </c>
    </row>
    <row r="9" spans="1:26" outlineLevel="2" x14ac:dyDescent="0.25">
      <c r="B9" s="49"/>
      <c r="C9" s="50"/>
      <c r="D9" s="50"/>
      <c r="E9" s="50"/>
      <c r="F9" s="50" t="s">
        <v>163</v>
      </c>
      <c r="G9" s="50"/>
      <c r="H9" s="51">
        <v>906</v>
      </c>
      <c r="I9" s="52"/>
      <c r="J9" s="53"/>
      <c r="K9" s="52"/>
      <c r="L9" s="51">
        <v>0</v>
      </c>
      <c r="M9" s="52"/>
      <c r="N9" s="53"/>
      <c r="O9" s="52"/>
      <c r="P9" s="54">
        <v>956.62</v>
      </c>
      <c r="Q9" s="55">
        <f>'2022 Forecast Fix'!J9</f>
        <v>809</v>
      </c>
      <c r="R9" s="55">
        <v>1510</v>
      </c>
      <c r="S9" s="52"/>
      <c r="T9" s="53"/>
      <c r="U9" s="52"/>
      <c r="V9" s="53">
        <v>1000</v>
      </c>
      <c r="W9" s="219"/>
      <c r="X9" s="77">
        <v>500</v>
      </c>
      <c r="Y9" s="218">
        <f t="shared" si="1"/>
        <v>-0.66887417218543044</v>
      </c>
    </row>
    <row r="10" spans="1:26" ht="12" outlineLevel="2" thickBot="1" x14ac:dyDescent="0.3">
      <c r="B10" s="49"/>
      <c r="C10" s="50"/>
      <c r="D10" s="50"/>
      <c r="E10" s="56"/>
      <c r="F10" s="56" t="s">
        <v>162</v>
      </c>
      <c r="G10" s="57"/>
      <c r="H10" s="58">
        <v>1332</v>
      </c>
      <c r="I10" s="59">
        <v>1800</v>
      </c>
      <c r="J10" s="60">
        <f>ROUND((H10-I10),5)</f>
        <v>-468</v>
      </c>
      <c r="K10" s="52"/>
      <c r="L10" s="58">
        <v>235</v>
      </c>
      <c r="M10" s="59">
        <v>0</v>
      </c>
      <c r="N10" s="60">
        <f>ROUND((L10-M10),5)</f>
        <v>235</v>
      </c>
      <c r="O10" s="52"/>
      <c r="P10" s="61">
        <v>112.77</v>
      </c>
      <c r="Q10" s="62">
        <f>'2022 Forecast Fix'!J10</f>
        <v>542.77</v>
      </c>
      <c r="R10" s="62">
        <v>0</v>
      </c>
      <c r="S10" s="59"/>
      <c r="T10" s="60"/>
      <c r="U10" s="52"/>
      <c r="V10" s="60">
        <v>150</v>
      </c>
      <c r="W10" s="223"/>
      <c r="X10" s="109">
        <v>150</v>
      </c>
      <c r="Y10" s="218" t="e">
        <f t="shared" si="1"/>
        <v>#DIV/0!</v>
      </c>
    </row>
    <row r="11" spans="1:26" outlineLevel="1" x14ac:dyDescent="0.25">
      <c r="B11" s="49"/>
      <c r="C11" s="50"/>
      <c r="D11" s="50"/>
      <c r="E11" s="50" t="s">
        <v>15</v>
      </c>
      <c r="F11" s="50"/>
      <c r="G11" s="50"/>
      <c r="H11" s="51">
        <f>ROUND(SUM(H5:H10),5)</f>
        <v>210098</v>
      </c>
      <c r="I11" s="52">
        <f>ROUND(SUM(I5:I10),5)</f>
        <v>215000</v>
      </c>
      <c r="J11" s="53">
        <f>ROUND((H11-I11),5)</f>
        <v>-4902</v>
      </c>
      <c r="K11" s="52"/>
      <c r="L11" s="51">
        <f>ROUND(SUM(L5:L10),5)</f>
        <v>212269</v>
      </c>
      <c r="M11" s="52">
        <f>ROUND(SUM(M5:M10),5)</f>
        <v>210000</v>
      </c>
      <c r="N11" s="53">
        <f>ROUND((L11-M11),5)</f>
        <v>2269</v>
      </c>
      <c r="O11" s="52"/>
      <c r="P11" s="54">
        <v>258843.01</v>
      </c>
      <c r="Q11" s="55">
        <f>ROUND(SUM(Q5:Q10),5)</f>
        <v>243138.77</v>
      </c>
      <c r="R11" s="55">
        <f>ROUND(SUM(R5:R10),5)</f>
        <v>239881</v>
      </c>
      <c r="S11" s="52">
        <f>ROUND(SUM(S5:S10),5)</f>
        <v>235000</v>
      </c>
      <c r="T11" s="53">
        <f>ROUND((R11-S11),5)</f>
        <v>4881</v>
      </c>
      <c r="U11" s="52"/>
      <c r="V11" s="53">
        <f>ROUND(SUM(V5:V10),5)</f>
        <v>283050</v>
      </c>
      <c r="W11" s="219">
        <f t="shared" si="0"/>
        <v>2.0770212765957446E-2</v>
      </c>
      <c r="X11" s="77">
        <f>ROUND(SUM(X5:X10),5)</f>
        <v>259550</v>
      </c>
      <c r="Y11" s="218">
        <f t="shared" si="1"/>
        <v>8.1994822432789549E-2</v>
      </c>
    </row>
    <row r="12" spans="1:26" outlineLevel="1" x14ac:dyDescent="0.25">
      <c r="B12" s="49"/>
      <c r="C12" s="50"/>
      <c r="D12" s="50"/>
      <c r="E12" s="50" t="s">
        <v>25</v>
      </c>
      <c r="F12" s="50"/>
      <c r="G12" s="50"/>
      <c r="H12" s="51">
        <v>10625</v>
      </c>
      <c r="I12" s="52">
        <v>10800</v>
      </c>
      <c r="J12" s="53">
        <f>ROUND((H12-I12),5)</f>
        <v>-175</v>
      </c>
      <c r="K12" s="52"/>
      <c r="L12" s="51">
        <v>10714</v>
      </c>
      <c r="M12" s="52">
        <v>10800</v>
      </c>
      <c r="N12" s="53">
        <f>ROUND((L12-M12),5)</f>
        <v>-86</v>
      </c>
      <c r="O12" s="52"/>
      <c r="P12" s="54">
        <v>11924.23</v>
      </c>
      <c r="Q12" s="55">
        <f>'2022 Forecast Fix'!J21</f>
        <v>11262.68</v>
      </c>
      <c r="R12" s="55">
        <v>11425</v>
      </c>
      <c r="S12" s="52">
        <v>10800</v>
      </c>
      <c r="T12" s="53">
        <f>ROUND((R12-S12),5)</f>
        <v>625</v>
      </c>
      <c r="U12" s="52"/>
      <c r="V12" s="53">
        <v>12000</v>
      </c>
      <c r="W12" s="219">
        <f t="shared" si="0"/>
        <v>5.7870370370370371E-2</v>
      </c>
      <c r="X12" s="77">
        <v>11000</v>
      </c>
      <c r="Y12" s="218">
        <f t="shared" si="1"/>
        <v>-3.7199124726477018E-2</v>
      </c>
    </row>
    <row r="13" spans="1:26" outlineLevel="2" x14ac:dyDescent="0.25">
      <c r="B13" s="49"/>
      <c r="C13" s="50"/>
      <c r="D13" s="50"/>
      <c r="E13" s="50" t="s">
        <v>26</v>
      </c>
      <c r="F13" s="50"/>
      <c r="G13" s="50"/>
      <c r="H13" s="51"/>
      <c r="I13" s="52"/>
      <c r="J13" s="53"/>
      <c r="K13" s="52"/>
      <c r="L13" s="51"/>
      <c r="M13" s="52"/>
      <c r="N13" s="53"/>
      <c r="O13" s="52"/>
      <c r="P13" s="54"/>
      <c r="Q13" s="55"/>
      <c r="R13" s="55"/>
      <c r="S13" s="52"/>
      <c r="T13" s="53"/>
      <c r="U13" s="52"/>
      <c r="V13" s="53"/>
      <c r="W13" s="219"/>
      <c r="X13" s="77"/>
      <c r="Y13" s="218"/>
    </row>
    <row r="14" spans="1:26" outlineLevel="2" x14ac:dyDescent="0.25">
      <c r="B14" s="49"/>
      <c r="C14" s="50"/>
      <c r="D14" s="50"/>
      <c r="E14" s="50"/>
      <c r="F14" s="50" t="s">
        <v>164</v>
      </c>
      <c r="G14" s="50"/>
      <c r="H14" s="51">
        <v>0</v>
      </c>
      <c r="I14" s="52"/>
      <c r="J14" s="53"/>
      <c r="K14" s="52"/>
      <c r="L14" s="51">
        <v>317</v>
      </c>
      <c r="M14" s="52">
        <v>0</v>
      </c>
      <c r="N14" s="53">
        <f t="shared" ref="N14:N15" si="2">ROUND((L14-M14),5)</f>
        <v>317</v>
      </c>
      <c r="O14" s="52"/>
      <c r="P14" s="54">
        <v>235</v>
      </c>
      <c r="Q14" s="55">
        <f>'2022 Forecast Fix'!J23</f>
        <v>235</v>
      </c>
      <c r="R14" s="55">
        <v>245</v>
      </c>
      <c r="S14" s="52">
        <v>200</v>
      </c>
      <c r="T14" s="53">
        <f t="shared" ref="T14:T15" si="3">ROUND((R14-S14),5)</f>
        <v>45</v>
      </c>
      <c r="U14" s="52"/>
      <c r="V14" s="53"/>
      <c r="W14" s="219">
        <f t="shared" si="0"/>
        <v>0.22500000000000001</v>
      </c>
      <c r="X14" s="77">
        <v>200</v>
      </c>
      <c r="Y14" s="218">
        <f t="shared" si="1"/>
        <v>-0.18367346938775508</v>
      </c>
    </row>
    <row r="15" spans="1:26" ht="12" outlineLevel="2" thickBot="1" x14ac:dyDescent="0.3">
      <c r="B15" s="49"/>
      <c r="C15" s="50"/>
      <c r="D15" s="50"/>
      <c r="E15" s="56"/>
      <c r="F15" s="56" t="s">
        <v>28</v>
      </c>
      <c r="G15" s="57"/>
      <c r="H15" s="51">
        <v>160</v>
      </c>
      <c r="I15" s="52"/>
      <c r="J15" s="53"/>
      <c r="K15" s="52"/>
      <c r="L15" s="51">
        <v>246</v>
      </c>
      <c r="M15" s="52">
        <v>0</v>
      </c>
      <c r="N15" s="53">
        <f t="shared" si="2"/>
        <v>246</v>
      </c>
      <c r="O15" s="52"/>
      <c r="P15" s="54">
        <v>90</v>
      </c>
      <c r="Q15" s="55">
        <f>'2022 Forecast Fix'!J24</f>
        <v>90</v>
      </c>
      <c r="R15" s="55">
        <v>123</v>
      </c>
      <c r="S15" s="52">
        <v>150</v>
      </c>
      <c r="T15" s="53">
        <f t="shared" si="3"/>
        <v>-27</v>
      </c>
      <c r="U15" s="52"/>
      <c r="V15" s="53">
        <v>100</v>
      </c>
      <c r="W15" s="219">
        <f t="shared" si="0"/>
        <v>-0.18</v>
      </c>
      <c r="X15" s="77">
        <v>100</v>
      </c>
      <c r="Y15" s="218">
        <f t="shared" si="1"/>
        <v>-0.18699186991869921</v>
      </c>
    </row>
    <row r="16" spans="1:26" ht="12" thickBot="1" x14ac:dyDescent="0.3">
      <c r="B16" s="49"/>
      <c r="C16" s="50"/>
      <c r="D16" s="56" t="s">
        <v>31</v>
      </c>
      <c r="E16" s="56"/>
      <c r="F16" s="56"/>
      <c r="G16" s="57"/>
      <c r="H16" s="66">
        <f>SUM(H11:H15)</f>
        <v>220883</v>
      </c>
      <c r="I16" s="67" t="e">
        <f>ROUND(I4+SUM(I11:I12)+#REF!,5)</f>
        <v>#REF!</v>
      </c>
      <c r="J16" s="68" t="e">
        <f>ROUND((H16-I16),5)</f>
        <v>#REF!</v>
      </c>
      <c r="K16" s="52"/>
      <c r="L16" s="66">
        <f t="shared" ref="L16:X16" si="4">SUM(L11:L15)</f>
        <v>223546</v>
      </c>
      <c r="M16" s="67">
        <f t="shared" si="4"/>
        <v>220800</v>
      </c>
      <c r="N16" s="68">
        <f t="shared" si="4"/>
        <v>2746</v>
      </c>
      <c r="O16" s="52">
        <f t="shared" si="4"/>
        <v>0</v>
      </c>
      <c r="P16" s="69">
        <f t="shared" si="4"/>
        <v>271092.24</v>
      </c>
      <c r="Q16" s="70">
        <f t="shared" ref="Q16" si="5">SUM(Q11:Q15)</f>
        <v>254726.44999999998</v>
      </c>
      <c r="R16" s="70">
        <f t="shared" si="4"/>
        <v>251674</v>
      </c>
      <c r="S16" s="67">
        <f t="shared" si="4"/>
        <v>246150</v>
      </c>
      <c r="T16" s="68">
        <f t="shared" si="4"/>
        <v>5524</v>
      </c>
      <c r="U16" s="52">
        <f t="shared" si="4"/>
        <v>0</v>
      </c>
      <c r="V16" s="68">
        <f t="shared" si="4"/>
        <v>295150</v>
      </c>
      <c r="W16" s="224">
        <f t="shared" si="0"/>
        <v>2.2441600650010156E-2</v>
      </c>
      <c r="X16" s="110">
        <f t="shared" si="4"/>
        <v>270850</v>
      </c>
      <c r="Y16" s="218">
        <f t="shared" si="1"/>
        <v>7.6193806273194609E-2</v>
      </c>
    </row>
    <row r="17" spans="2:26" outlineLevel="1" x14ac:dyDescent="0.25">
      <c r="B17" s="49"/>
      <c r="C17" s="50"/>
      <c r="D17" s="50" t="s">
        <v>33</v>
      </c>
      <c r="E17" s="50"/>
      <c r="F17" s="50"/>
      <c r="G17" s="50"/>
      <c r="H17" s="51"/>
      <c r="I17" s="52"/>
      <c r="J17" s="53"/>
      <c r="K17" s="52"/>
      <c r="L17" s="51"/>
      <c r="M17" s="52"/>
      <c r="N17" s="53"/>
      <c r="O17" s="52"/>
      <c r="P17" s="54"/>
      <c r="Q17" s="55"/>
      <c r="R17" s="55"/>
      <c r="S17" s="52"/>
      <c r="T17" s="53"/>
      <c r="U17" s="52"/>
      <c r="V17" s="53"/>
      <c r="W17" s="219"/>
      <c r="X17" s="77"/>
      <c r="Y17" s="218"/>
    </row>
    <row r="18" spans="2:26" outlineLevel="1" x14ac:dyDescent="0.25">
      <c r="B18" s="49"/>
      <c r="C18" s="50"/>
      <c r="D18" s="50"/>
      <c r="E18" s="50" t="s">
        <v>34</v>
      </c>
      <c r="F18" s="50"/>
      <c r="G18" s="50"/>
      <c r="H18" s="51">
        <v>103084</v>
      </c>
      <c r="I18" s="52">
        <v>103000</v>
      </c>
      <c r="J18" s="53">
        <f>ROUND((H18-I18),5)</f>
        <v>84</v>
      </c>
      <c r="K18" s="52"/>
      <c r="L18" s="51">
        <v>102507</v>
      </c>
      <c r="M18" s="52">
        <v>103000</v>
      </c>
      <c r="N18" s="53">
        <f>ROUND((L18-M18),5)</f>
        <v>-493</v>
      </c>
      <c r="O18" s="52"/>
      <c r="P18" s="54">
        <v>121264.41</v>
      </c>
      <c r="Q18" s="55">
        <f>'2022 Forecast Fix'!J31</f>
        <v>120577</v>
      </c>
      <c r="R18" s="55">
        <v>121315</v>
      </c>
      <c r="S18" s="52">
        <v>114140</v>
      </c>
      <c r="T18" s="53">
        <f>ROUND((S18-R18),5)</f>
        <v>-7175</v>
      </c>
      <c r="U18" s="52"/>
      <c r="V18" s="53">
        <v>122000</v>
      </c>
      <c r="W18" s="219">
        <f>-(T18/S18)</f>
        <v>6.2861398282810579E-2</v>
      </c>
      <c r="X18" s="77">
        <v>122000</v>
      </c>
      <c r="Y18" s="218">
        <f t="shared" si="1"/>
        <v>5.6464575691381746E-3</v>
      </c>
      <c r="Z18" s="30" t="s">
        <v>165</v>
      </c>
    </row>
    <row r="19" spans="2:26" outlineLevel="2" x14ac:dyDescent="0.25">
      <c r="B19" s="49"/>
      <c r="C19" s="50"/>
      <c r="D19" s="50"/>
      <c r="E19" s="50" t="s">
        <v>35</v>
      </c>
      <c r="F19" s="50"/>
      <c r="G19" s="50"/>
      <c r="H19" s="51"/>
      <c r="I19" s="52"/>
      <c r="J19" s="53"/>
      <c r="K19" s="52"/>
      <c r="L19" s="51"/>
      <c r="M19" s="52"/>
      <c r="N19" s="53"/>
      <c r="O19" s="52"/>
      <c r="P19" s="54"/>
      <c r="Q19" s="55"/>
      <c r="R19" s="55"/>
      <c r="S19" s="52"/>
      <c r="T19" s="53"/>
      <c r="U19" s="52"/>
      <c r="V19" s="53"/>
      <c r="W19" s="219"/>
      <c r="X19" s="77"/>
      <c r="Y19" s="218"/>
      <c r="Z19" s="30" t="s">
        <v>202</v>
      </c>
    </row>
    <row r="20" spans="2:26" outlineLevel="2" x14ac:dyDescent="0.25">
      <c r="B20" s="49"/>
      <c r="C20" s="50"/>
      <c r="D20" s="50"/>
      <c r="E20" s="50"/>
      <c r="F20" s="50" t="s">
        <v>36</v>
      </c>
      <c r="G20" s="50"/>
      <c r="H20" s="51">
        <v>4961</v>
      </c>
      <c r="I20" s="52">
        <v>4000</v>
      </c>
      <c r="J20" s="53">
        <f>ROUND((H20-I20),5)</f>
        <v>961</v>
      </c>
      <c r="K20" s="52"/>
      <c r="L20" s="51">
        <v>6403</v>
      </c>
      <c r="M20" s="52">
        <v>3000</v>
      </c>
      <c r="N20" s="53">
        <f>ROUND((L20-M20),5)</f>
        <v>3403</v>
      </c>
      <c r="O20" s="52"/>
      <c r="P20" s="54">
        <v>9566.7000000000007</v>
      </c>
      <c r="Q20" s="55">
        <f>'2022 Forecast Fix'!J33</f>
        <v>8008</v>
      </c>
      <c r="R20" s="55">
        <f>'2022 Forecast Fix'!J33</f>
        <v>8008</v>
      </c>
      <c r="S20" s="52">
        <v>2000</v>
      </c>
      <c r="T20" s="53">
        <f>ROUND((S20-R20),5)</f>
        <v>-6008</v>
      </c>
      <c r="U20" s="52"/>
      <c r="V20" s="53">
        <v>2000</v>
      </c>
      <c r="W20" s="219">
        <f t="shared" ref="W20:W60" si="6">-(T20/S20)</f>
        <v>3.004</v>
      </c>
      <c r="X20" s="77">
        <v>2000</v>
      </c>
      <c r="Y20" s="218">
        <f t="shared" si="1"/>
        <v>-0.75024975024975027</v>
      </c>
    </row>
    <row r="21" spans="2:26" outlineLevel="3" x14ac:dyDescent="0.25">
      <c r="B21" s="49"/>
      <c r="C21" s="50"/>
      <c r="D21" s="50"/>
      <c r="E21" s="50"/>
      <c r="F21" s="50" t="s">
        <v>37</v>
      </c>
      <c r="G21" s="50"/>
      <c r="H21" s="51"/>
      <c r="I21" s="52"/>
      <c r="J21" s="53"/>
      <c r="K21" s="52"/>
      <c r="L21" s="51"/>
      <c r="M21" s="52"/>
      <c r="N21" s="53"/>
      <c r="O21" s="52"/>
      <c r="P21" s="54"/>
      <c r="Q21" s="55"/>
      <c r="R21" s="55"/>
      <c r="S21" s="52"/>
      <c r="T21" s="53"/>
      <c r="U21" s="52"/>
      <c r="V21" s="53"/>
      <c r="W21" s="219"/>
      <c r="X21" s="77"/>
      <c r="Y21" s="218"/>
    </row>
    <row r="22" spans="2:26" outlineLevel="3" x14ac:dyDescent="0.25">
      <c r="B22" s="49"/>
      <c r="C22" s="50"/>
      <c r="D22" s="50"/>
      <c r="E22" s="50"/>
      <c r="F22" s="50"/>
      <c r="G22" s="50" t="s">
        <v>38</v>
      </c>
      <c r="H22" s="51">
        <v>2090</v>
      </c>
      <c r="I22" s="52">
        <v>3320</v>
      </c>
      <c r="J22" s="53">
        <f>ROUND((H22-I22),5)</f>
        <v>-1230</v>
      </c>
      <c r="K22" s="52"/>
      <c r="L22" s="51">
        <v>2095</v>
      </c>
      <c r="M22" s="52">
        <v>3000</v>
      </c>
      <c r="N22" s="53">
        <f>ROUND((L22-M22),5)</f>
        <v>-905</v>
      </c>
      <c r="O22" s="52"/>
      <c r="P22" s="54">
        <v>2095</v>
      </c>
      <c r="Q22" s="55">
        <v>2095</v>
      </c>
      <c r="R22" s="55">
        <v>2095</v>
      </c>
      <c r="S22" s="52">
        <v>2500</v>
      </c>
      <c r="T22" s="53">
        <f>ROUND((S22-R22),5)</f>
        <v>405</v>
      </c>
      <c r="U22" s="52"/>
      <c r="V22" s="53">
        <v>2250</v>
      </c>
      <c r="W22" s="219">
        <f t="shared" si="6"/>
        <v>-0.16200000000000001</v>
      </c>
      <c r="X22" s="77">
        <v>2250</v>
      </c>
      <c r="Y22" s="218">
        <f t="shared" si="1"/>
        <v>7.398568019093088E-2</v>
      </c>
      <c r="Z22" s="30" t="s">
        <v>153</v>
      </c>
    </row>
    <row r="23" spans="2:26" outlineLevel="3" x14ac:dyDescent="0.25">
      <c r="B23" s="49"/>
      <c r="C23" s="50"/>
      <c r="D23" s="50"/>
      <c r="E23" s="50"/>
      <c r="F23" s="50"/>
      <c r="G23" s="50" t="s">
        <v>39</v>
      </c>
      <c r="H23" s="51">
        <v>324</v>
      </c>
      <c r="I23" s="52">
        <v>180</v>
      </c>
      <c r="J23" s="53">
        <f>ROUND((H23-I23),5)</f>
        <v>144</v>
      </c>
      <c r="K23" s="52"/>
      <c r="L23" s="51">
        <v>386</v>
      </c>
      <c r="M23" s="52">
        <v>0</v>
      </c>
      <c r="N23" s="53">
        <f>ROUND((L23-M23),5)</f>
        <v>386</v>
      </c>
      <c r="O23" s="52"/>
      <c r="P23" s="54">
        <v>455.7</v>
      </c>
      <c r="Q23" s="55">
        <v>455.7</v>
      </c>
      <c r="R23" s="55">
        <v>349</v>
      </c>
      <c r="S23" s="52">
        <v>350</v>
      </c>
      <c r="T23" s="53">
        <f>ROUND((S23-R23),5)</f>
        <v>1</v>
      </c>
      <c r="U23" s="52"/>
      <c r="V23" s="53">
        <v>500</v>
      </c>
      <c r="W23" s="219">
        <f t="shared" si="6"/>
        <v>-2.8571428571428571E-3</v>
      </c>
      <c r="X23" s="77">
        <v>500</v>
      </c>
      <c r="Y23" s="218">
        <f t="shared" si="1"/>
        <v>0.43266475644699143</v>
      </c>
    </row>
    <row r="24" spans="2:26" ht="12" outlineLevel="3" thickBot="1" x14ac:dyDescent="0.3">
      <c r="B24" s="49"/>
      <c r="C24" s="50"/>
      <c r="D24" s="50"/>
      <c r="E24" s="50"/>
      <c r="F24" s="50"/>
      <c r="G24" s="50" t="s">
        <v>40</v>
      </c>
      <c r="H24" s="58">
        <v>0</v>
      </c>
      <c r="I24" s="59">
        <v>0</v>
      </c>
      <c r="J24" s="60">
        <f>ROUND((H24-I24),5)</f>
        <v>0</v>
      </c>
      <c r="K24" s="52"/>
      <c r="L24" s="58">
        <v>7</v>
      </c>
      <c r="M24" s="59">
        <v>0</v>
      </c>
      <c r="N24" s="60">
        <f>ROUND((L24-M24),5)</f>
        <v>7</v>
      </c>
      <c r="O24" s="52"/>
      <c r="P24" s="61">
        <v>0</v>
      </c>
      <c r="Q24" s="62">
        <v>0</v>
      </c>
      <c r="R24" s="62">
        <v>24</v>
      </c>
      <c r="S24" s="59">
        <v>0</v>
      </c>
      <c r="T24" s="60">
        <f>ROUND((S24-R24),5)</f>
        <v>-24</v>
      </c>
      <c r="U24" s="52"/>
      <c r="V24" s="60"/>
      <c r="W24" s="223"/>
      <c r="X24" s="109"/>
      <c r="Y24" s="218"/>
    </row>
    <row r="25" spans="2:26" outlineLevel="2" x14ac:dyDescent="0.25">
      <c r="B25" s="49"/>
      <c r="C25" s="50"/>
      <c r="D25" s="50"/>
      <c r="E25" s="50"/>
      <c r="F25" s="50" t="s">
        <v>41</v>
      </c>
      <c r="G25" s="50"/>
      <c r="H25" s="51">
        <f>ROUND(SUM(H21:H24),5)</f>
        <v>2414</v>
      </c>
      <c r="I25" s="52">
        <f>ROUND(SUM(I21:I24),5)</f>
        <v>3500</v>
      </c>
      <c r="J25" s="53">
        <f>ROUND((H25-I25),5)</f>
        <v>-1086</v>
      </c>
      <c r="K25" s="52"/>
      <c r="L25" s="51">
        <f>ROUND(SUM(L21:L24),5)</f>
        <v>2488</v>
      </c>
      <c r="M25" s="52">
        <f>ROUND(SUM(M21:M24),5)</f>
        <v>3000</v>
      </c>
      <c r="N25" s="53">
        <f>ROUND((L25-M25),5)</f>
        <v>-512</v>
      </c>
      <c r="O25" s="52"/>
      <c r="P25" s="54">
        <v>2550.6999999999998</v>
      </c>
      <c r="Q25" s="55">
        <f>'2022 Forecast Fix'!J38</f>
        <v>2608.6999999999998</v>
      </c>
      <c r="R25" s="55">
        <f>SUM(R22:R24)</f>
        <v>2468</v>
      </c>
      <c r="S25" s="52">
        <f>ROUND(SUM(S21:S24),5)</f>
        <v>2850</v>
      </c>
      <c r="T25" s="53">
        <f>ROUND((S25-R25),5)</f>
        <v>382</v>
      </c>
      <c r="U25" s="52"/>
      <c r="V25" s="53">
        <f>ROUND(SUM(V21:V24),5)</f>
        <v>2750</v>
      </c>
      <c r="W25" s="219">
        <f t="shared" si="6"/>
        <v>-0.13403508771929826</v>
      </c>
      <c r="X25" s="77">
        <f>ROUND(SUM(X21:X24),5)</f>
        <v>2750</v>
      </c>
      <c r="Y25" s="218">
        <f t="shared" si="1"/>
        <v>0.11426256077795793</v>
      </c>
    </row>
    <row r="26" spans="2:26" outlineLevel="3" x14ac:dyDescent="0.25">
      <c r="B26" s="49"/>
      <c r="C26" s="50"/>
      <c r="D26" s="50"/>
      <c r="E26" s="50"/>
      <c r="F26" s="50" t="s">
        <v>42</v>
      </c>
      <c r="G26" s="50"/>
      <c r="H26" s="51"/>
      <c r="I26" s="52"/>
      <c r="J26" s="53"/>
      <c r="K26" s="52"/>
      <c r="L26" s="51"/>
      <c r="M26" s="52"/>
      <c r="N26" s="53"/>
      <c r="O26" s="52"/>
      <c r="P26" s="54"/>
      <c r="Q26" s="55"/>
      <c r="R26" s="55"/>
      <c r="S26" s="52"/>
      <c r="T26" s="53"/>
      <c r="U26" s="52"/>
      <c r="V26" s="53"/>
      <c r="W26" s="219"/>
      <c r="X26" s="77"/>
      <c r="Y26" s="218"/>
    </row>
    <row r="27" spans="2:26" outlineLevel="3" x14ac:dyDescent="0.25">
      <c r="B27" s="49"/>
      <c r="C27" s="50"/>
      <c r="D27" s="50"/>
      <c r="E27" s="50"/>
      <c r="F27" s="50"/>
      <c r="G27" s="50" t="s">
        <v>43</v>
      </c>
      <c r="H27" s="51">
        <v>3242</v>
      </c>
      <c r="I27" s="52">
        <v>800</v>
      </c>
      <c r="J27" s="53">
        <f t="shared" ref="J27:J34" si="7">ROUND((H27-I27),5)</f>
        <v>2442</v>
      </c>
      <c r="K27" s="52"/>
      <c r="L27" s="51">
        <v>2921</v>
      </c>
      <c r="M27" s="52">
        <v>2000</v>
      </c>
      <c r="N27" s="53">
        <f t="shared" ref="N27:N34" si="8">ROUND((L27-M27),5)</f>
        <v>921</v>
      </c>
      <c r="O27" s="52"/>
      <c r="P27" s="54">
        <v>3270.98</v>
      </c>
      <c r="Q27" s="55">
        <f>'2022 Forecast Fix'!J40</f>
        <v>3246.49</v>
      </c>
      <c r="R27" s="55">
        <v>3936</v>
      </c>
      <c r="S27" s="52">
        <v>3200</v>
      </c>
      <c r="T27" s="53">
        <f t="shared" ref="T27:T34" si="9">ROUND((S27-R27),5)</f>
        <v>-736</v>
      </c>
      <c r="U27" s="52"/>
      <c r="V27" s="53">
        <v>3300</v>
      </c>
      <c r="W27" s="219">
        <f t="shared" si="6"/>
        <v>0.23</v>
      </c>
      <c r="X27" s="77">
        <v>3300</v>
      </c>
      <c r="Y27" s="218">
        <f t="shared" si="1"/>
        <v>-0.16158536585365857</v>
      </c>
    </row>
    <row r="28" spans="2:26" ht="12" outlineLevel="3" thickBot="1" x14ac:dyDescent="0.3">
      <c r="B28" s="49"/>
      <c r="C28" s="50"/>
      <c r="D28" s="50"/>
      <c r="E28" s="50"/>
      <c r="F28" s="56"/>
      <c r="G28" s="57" t="s">
        <v>44</v>
      </c>
      <c r="H28" s="58">
        <f>H29-H27</f>
        <v>4142</v>
      </c>
      <c r="I28" s="59">
        <v>4200</v>
      </c>
      <c r="J28" s="60">
        <f t="shared" si="7"/>
        <v>-58</v>
      </c>
      <c r="K28" s="52"/>
      <c r="L28" s="58">
        <f>L29-L27</f>
        <v>4247</v>
      </c>
      <c r="M28" s="59">
        <v>4000</v>
      </c>
      <c r="N28" s="60">
        <f t="shared" si="8"/>
        <v>247</v>
      </c>
      <c r="O28" s="52"/>
      <c r="P28" s="61">
        <v>4470.6299999999992</v>
      </c>
      <c r="Q28" s="62">
        <f>'2022 Forecast Fix'!J41</f>
        <v>4580.9599999999991</v>
      </c>
      <c r="R28" s="62">
        <v>4244</v>
      </c>
      <c r="S28" s="59">
        <v>4000</v>
      </c>
      <c r="T28" s="60">
        <f t="shared" si="9"/>
        <v>-244</v>
      </c>
      <c r="U28" s="52"/>
      <c r="V28" s="60">
        <v>4500</v>
      </c>
      <c r="W28" s="223">
        <f t="shared" si="6"/>
        <v>6.0999999999999999E-2</v>
      </c>
      <c r="X28" s="109">
        <v>4500</v>
      </c>
      <c r="Y28" s="218">
        <f t="shared" si="1"/>
        <v>6.0320452403393121E-2</v>
      </c>
    </row>
    <row r="29" spans="2:26" outlineLevel="2" x14ac:dyDescent="0.25">
      <c r="B29" s="49"/>
      <c r="C29" s="50"/>
      <c r="D29" s="50"/>
      <c r="E29" s="50"/>
      <c r="F29" s="50" t="s">
        <v>45</v>
      </c>
      <c r="G29" s="50"/>
      <c r="H29" s="51">
        <v>7384</v>
      </c>
      <c r="I29" s="52">
        <f>ROUND(SUM(I26:I28),5)</f>
        <v>5000</v>
      </c>
      <c r="J29" s="53">
        <f t="shared" si="7"/>
        <v>2384</v>
      </c>
      <c r="K29" s="52"/>
      <c r="L29" s="51">
        <v>7168</v>
      </c>
      <c r="M29" s="52">
        <f>ROUND(SUM(M26:M28),5)</f>
        <v>6000</v>
      </c>
      <c r="N29" s="53">
        <f t="shared" si="8"/>
        <v>1168</v>
      </c>
      <c r="O29" s="52"/>
      <c r="P29" s="54">
        <v>7741.61</v>
      </c>
      <c r="Q29" s="55">
        <f>ROUND(SUM(Q26:Q28),5)</f>
        <v>7827.45</v>
      </c>
      <c r="R29" s="55">
        <f>ROUND(SUM(R26:R28),5)</f>
        <v>8180</v>
      </c>
      <c r="S29" s="52">
        <f>ROUND(SUM(S26:S28),5)</f>
        <v>7200</v>
      </c>
      <c r="T29" s="53">
        <f t="shared" si="9"/>
        <v>-980</v>
      </c>
      <c r="U29" s="52"/>
      <c r="V29" s="53">
        <f>ROUND(SUM(V26:V28),5)</f>
        <v>7800</v>
      </c>
      <c r="W29" s="219">
        <f t="shared" si="6"/>
        <v>0.1361111111111111</v>
      </c>
      <c r="X29" s="77">
        <f>ROUND(SUM(X26:X28),5)</f>
        <v>7800</v>
      </c>
      <c r="Y29" s="218">
        <f t="shared" si="1"/>
        <v>-4.6454767726161417E-2</v>
      </c>
    </row>
    <row r="30" spans="2:26" outlineLevel="2" x14ac:dyDescent="0.25">
      <c r="B30" s="49"/>
      <c r="C30" s="50"/>
      <c r="D30" s="50"/>
      <c r="E30" s="50"/>
      <c r="F30" s="50" t="s">
        <v>46</v>
      </c>
      <c r="G30" s="50"/>
      <c r="H30" s="51">
        <v>11154</v>
      </c>
      <c r="I30" s="52">
        <v>7500</v>
      </c>
      <c r="J30" s="53">
        <f t="shared" si="7"/>
        <v>3654</v>
      </c>
      <c r="K30" s="52"/>
      <c r="L30" s="51">
        <v>10358</v>
      </c>
      <c r="M30" s="52">
        <v>11000</v>
      </c>
      <c r="N30" s="53">
        <f t="shared" si="8"/>
        <v>-642</v>
      </c>
      <c r="O30" s="52"/>
      <c r="P30" s="54">
        <v>11203</v>
      </c>
      <c r="Q30" s="55">
        <f>'2022 Forecast Fix'!J43</f>
        <v>11203</v>
      </c>
      <c r="R30" s="55">
        <f>'2022 Forecast Fix'!J43</f>
        <v>11203</v>
      </c>
      <c r="S30" s="52">
        <v>12300</v>
      </c>
      <c r="T30" s="53">
        <f t="shared" si="9"/>
        <v>1097</v>
      </c>
      <c r="U30" s="52"/>
      <c r="V30" s="53">
        <v>11300</v>
      </c>
      <c r="W30" s="219">
        <f t="shared" si="6"/>
        <v>-8.91869918699187E-2</v>
      </c>
      <c r="X30" s="77">
        <v>11300</v>
      </c>
      <c r="Y30" s="218">
        <f t="shared" si="1"/>
        <v>8.6583950727483483E-3</v>
      </c>
    </row>
    <row r="31" spans="2:26" outlineLevel="2" x14ac:dyDescent="0.25">
      <c r="B31" s="49"/>
      <c r="C31" s="50"/>
      <c r="D31" s="50"/>
      <c r="E31" s="50"/>
      <c r="F31" s="50" t="s">
        <v>47</v>
      </c>
      <c r="G31" s="50"/>
      <c r="H31" s="51">
        <v>2005</v>
      </c>
      <c r="I31" s="52">
        <v>1500</v>
      </c>
      <c r="J31" s="53">
        <f t="shared" si="7"/>
        <v>505</v>
      </c>
      <c r="K31" s="52"/>
      <c r="L31" s="51">
        <v>1371</v>
      </c>
      <c r="M31" s="52">
        <v>1500</v>
      </c>
      <c r="N31" s="53">
        <f t="shared" si="8"/>
        <v>-129</v>
      </c>
      <c r="O31" s="52"/>
      <c r="P31" s="54">
        <v>1445.17</v>
      </c>
      <c r="Q31" s="55">
        <f>'2022 Forecast Fix'!J44</f>
        <v>1735.16</v>
      </c>
      <c r="R31" s="55">
        <v>1637</v>
      </c>
      <c r="S31" s="52">
        <v>1500</v>
      </c>
      <c r="T31" s="53">
        <f t="shared" si="9"/>
        <v>-137</v>
      </c>
      <c r="U31" s="52"/>
      <c r="V31" s="53">
        <v>1500</v>
      </c>
      <c r="W31" s="219">
        <f t="shared" si="6"/>
        <v>9.1333333333333336E-2</v>
      </c>
      <c r="X31" s="77">
        <v>1500</v>
      </c>
      <c r="Y31" s="218">
        <f t="shared" si="1"/>
        <v>-8.3689676237018951E-2</v>
      </c>
    </row>
    <row r="32" spans="2:26" outlineLevel="2" x14ac:dyDescent="0.25">
      <c r="B32" s="49"/>
      <c r="C32" s="50"/>
      <c r="D32" s="50"/>
      <c r="E32" s="50"/>
      <c r="F32" s="50" t="s">
        <v>48</v>
      </c>
      <c r="G32" s="50"/>
      <c r="H32" s="51">
        <v>3272</v>
      </c>
      <c r="I32" s="52">
        <v>3500</v>
      </c>
      <c r="J32" s="53">
        <f t="shared" si="7"/>
        <v>-228</v>
      </c>
      <c r="K32" s="52"/>
      <c r="L32" s="51">
        <v>3590</v>
      </c>
      <c r="M32" s="52">
        <v>3500</v>
      </c>
      <c r="N32" s="53">
        <f t="shared" si="8"/>
        <v>90</v>
      </c>
      <c r="O32" s="52"/>
      <c r="P32" s="54">
        <v>3002.76</v>
      </c>
      <c r="Q32" s="55">
        <f>'2022 Forecast Fix'!J45</f>
        <v>3018.48</v>
      </c>
      <c r="R32" s="55">
        <v>2511</v>
      </c>
      <c r="S32" s="52">
        <v>3550</v>
      </c>
      <c r="T32" s="53">
        <f t="shared" si="9"/>
        <v>1039</v>
      </c>
      <c r="U32" s="52"/>
      <c r="V32" s="53">
        <v>3100</v>
      </c>
      <c r="W32" s="219">
        <f t="shared" si="6"/>
        <v>-0.29267605633802818</v>
      </c>
      <c r="X32" s="77">
        <v>3100</v>
      </c>
      <c r="Y32" s="218">
        <f t="shared" si="1"/>
        <v>0.23456790123456783</v>
      </c>
    </row>
    <row r="33" spans="2:26" ht="12" outlineLevel="2" thickBot="1" x14ac:dyDescent="0.3">
      <c r="B33" s="49"/>
      <c r="C33" s="50"/>
      <c r="D33" s="50"/>
      <c r="E33" s="56"/>
      <c r="F33" s="56" t="s">
        <v>157</v>
      </c>
      <c r="G33" s="57"/>
      <c r="H33" s="58">
        <v>149</v>
      </c>
      <c r="I33" s="59">
        <v>500</v>
      </c>
      <c r="J33" s="60">
        <f t="shared" si="7"/>
        <v>-351</v>
      </c>
      <c r="K33" s="52"/>
      <c r="L33" s="58">
        <v>1280</v>
      </c>
      <c r="M33" s="59">
        <v>250</v>
      </c>
      <c r="N33" s="60">
        <f t="shared" si="8"/>
        <v>1030</v>
      </c>
      <c r="O33" s="52"/>
      <c r="P33" s="61">
        <v>673</v>
      </c>
      <c r="Q33" s="62">
        <f>'2022 Forecast Fix'!J49</f>
        <v>453</v>
      </c>
      <c r="R33" s="62">
        <v>7</v>
      </c>
      <c r="S33" s="59">
        <v>300</v>
      </c>
      <c r="T33" s="60">
        <f t="shared" si="9"/>
        <v>293</v>
      </c>
      <c r="U33" s="52"/>
      <c r="V33" s="60">
        <v>500</v>
      </c>
      <c r="W33" s="223">
        <f t="shared" si="6"/>
        <v>-0.97666666666666668</v>
      </c>
      <c r="X33" s="109">
        <v>500</v>
      </c>
      <c r="Y33" s="218">
        <f t="shared" si="1"/>
        <v>70.428571428571431</v>
      </c>
    </row>
    <row r="34" spans="2:26" outlineLevel="1" x14ac:dyDescent="0.25">
      <c r="B34" s="49"/>
      <c r="C34" s="50"/>
      <c r="D34" s="50"/>
      <c r="E34" s="50" t="s">
        <v>53</v>
      </c>
      <c r="F34" s="50"/>
      <c r="G34" s="50"/>
      <c r="H34" s="51">
        <f>ROUND(SUM(H19:H20)+H25+SUM(H29:H33),5)</f>
        <v>31339</v>
      </c>
      <c r="I34" s="52">
        <f>ROUND(SUM(I19:I20)+I25+SUM(I29:I33),5)</f>
        <v>25500</v>
      </c>
      <c r="J34" s="53">
        <f t="shared" si="7"/>
        <v>5839</v>
      </c>
      <c r="K34" s="52"/>
      <c r="L34" s="51">
        <f>ROUND(SUM(L19:L20)+L25+SUM(L29:L33),5)</f>
        <v>32658</v>
      </c>
      <c r="M34" s="52">
        <f>ROUND(SUM(M19:M20)+M25+SUM(M29:M33),5)</f>
        <v>28250</v>
      </c>
      <c r="N34" s="53">
        <f t="shared" si="8"/>
        <v>4408</v>
      </c>
      <c r="O34" s="52"/>
      <c r="P34" s="54">
        <v>36182.94</v>
      </c>
      <c r="Q34" s="55">
        <f>ROUND(SUM(Q19:Q20)+Q25+SUM(Q29:Q33),5)</f>
        <v>34853.79</v>
      </c>
      <c r="R34" s="55">
        <f>ROUND(SUM(R19:R20)+R25+SUM(R29:R33),5)</f>
        <v>34014</v>
      </c>
      <c r="S34" s="52">
        <f>ROUND(SUM(S19:S20)+S25+SUM(S29:S33),5)</f>
        <v>29700</v>
      </c>
      <c r="T34" s="53">
        <f t="shared" si="9"/>
        <v>-4314</v>
      </c>
      <c r="U34" s="52"/>
      <c r="V34" s="53">
        <f>ROUND(SUM(V19:V20)+V25+SUM(V29:V33),5)</f>
        <v>28950</v>
      </c>
      <c r="W34" s="219">
        <f t="shared" si="6"/>
        <v>0.14525252525252524</v>
      </c>
      <c r="X34" s="77">
        <f>ROUND(SUM(X19:X20)+X25+SUM(X29:X33),5)</f>
        <v>28950</v>
      </c>
      <c r="Y34" s="218">
        <f t="shared" si="1"/>
        <v>-0.14887987299347327</v>
      </c>
    </row>
    <row r="35" spans="2:26" outlineLevel="3" x14ac:dyDescent="0.25">
      <c r="B35" s="49"/>
      <c r="C35" s="50"/>
      <c r="D35" s="50"/>
      <c r="E35" s="50" t="s">
        <v>54</v>
      </c>
      <c r="F35" s="50"/>
      <c r="G35" s="50"/>
      <c r="H35" s="51"/>
      <c r="I35" s="52"/>
      <c r="J35" s="53"/>
      <c r="K35" s="52"/>
      <c r="L35" s="51"/>
      <c r="M35" s="52"/>
      <c r="N35" s="53"/>
      <c r="O35" s="52"/>
      <c r="P35" s="54"/>
      <c r="Q35" s="55"/>
      <c r="R35" s="55"/>
      <c r="S35" s="52"/>
      <c r="T35" s="53"/>
      <c r="U35" s="52"/>
      <c r="V35" s="53"/>
      <c r="W35" s="219"/>
      <c r="X35" s="77"/>
      <c r="Y35" s="218"/>
    </row>
    <row r="36" spans="2:26" outlineLevel="3" x14ac:dyDescent="0.25">
      <c r="B36" s="49"/>
      <c r="C36" s="50"/>
      <c r="D36" s="50"/>
      <c r="E36" s="50"/>
      <c r="F36" s="50" t="s">
        <v>55</v>
      </c>
      <c r="G36" s="50"/>
      <c r="H36" s="51">
        <v>0</v>
      </c>
      <c r="I36" s="52">
        <v>2000</v>
      </c>
      <c r="J36" s="53">
        <f>ROUND((H36-I36),5)</f>
        <v>-2000</v>
      </c>
      <c r="K36" s="52"/>
      <c r="L36" s="51">
        <v>2497</v>
      </c>
      <c r="M36" s="52">
        <v>1000</v>
      </c>
      <c r="N36" s="53">
        <f>ROUND((L36-M36),5)</f>
        <v>1497</v>
      </c>
      <c r="O36" s="52"/>
      <c r="P36" s="54">
        <v>1740</v>
      </c>
      <c r="Q36" s="55">
        <f>'2022 Forecast Fix'!J52</f>
        <v>0</v>
      </c>
      <c r="R36" s="55">
        <f>'2022 Forecast Fix'!J52</f>
        <v>0</v>
      </c>
      <c r="S36" s="52">
        <v>7000</v>
      </c>
      <c r="T36" s="53">
        <f>ROUND((S36-R36),5)</f>
        <v>7000</v>
      </c>
      <c r="U36" s="52"/>
      <c r="V36" s="53">
        <v>10000</v>
      </c>
      <c r="W36" s="219">
        <f t="shared" si="6"/>
        <v>-1</v>
      </c>
      <c r="X36" s="77">
        <v>1000</v>
      </c>
      <c r="Y36" s="218"/>
    </row>
    <row r="37" spans="2:26" ht="12" outlineLevel="3" x14ac:dyDescent="0.3">
      <c r="B37" s="49"/>
      <c r="C37" s="50"/>
      <c r="D37" s="50"/>
      <c r="E37" s="50"/>
      <c r="F37" s="50"/>
      <c r="G37" s="91" t="s">
        <v>156</v>
      </c>
      <c r="H37" s="92"/>
      <c r="I37" s="93"/>
      <c r="J37" s="94"/>
      <c r="K37" s="93"/>
      <c r="L37" s="92"/>
      <c r="M37" s="93"/>
      <c r="N37" s="94"/>
      <c r="O37" s="93"/>
      <c r="P37" s="95"/>
      <c r="Q37" s="96">
        <v>19000</v>
      </c>
      <c r="R37" s="96">
        <v>8580</v>
      </c>
      <c r="S37" s="93">
        <v>15000</v>
      </c>
      <c r="T37" s="94">
        <f>ROUND((S37-R37),5)</f>
        <v>6420</v>
      </c>
      <c r="U37" s="93"/>
      <c r="V37" s="94"/>
      <c r="W37" s="225">
        <f t="shared" si="6"/>
        <v>-0.42799999999999999</v>
      </c>
      <c r="X37" s="111"/>
      <c r="Y37" s="218">
        <f t="shared" si="1"/>
        <v>-1</v>
      </c>
      <c r="Z37" s="97" t="s">
        <v>167</v>
      </c>
    </row>
    <row r="38" spans="2:26" ht="12" outlineLevel="3" x14ac:dyDescent="0.3">
      <c r="B38" s="49"/>
      <c r="C38" s="50"/>
      <c r="D38" s="50"/>
      <c r="E38" s="50"/>
      <c r="F38" s="50" t="s">
        <v>56</v>
      </c>
      <c r="G38" s="50"/>
      <c r="H38" s="51">
        <v>3605</v>
      </c>
      <c r="I38" s="52">
        <v>2000</v>
      </c>
      <c r="J38" s="53">
        <f>ROUND((H38-I38),5)</f>
        <v>1605</v>
      </c>
      <c r="K38" s="52"/>
      <c r="L38" s="51">
        <v>2426</v>
      </c>
      <c r="M38" s="52">
        <v>2500</v>
      </c>
      <c r="N38" s="53">
        <f>ROUND((L38-M38),5)</f>
        <v>-74</v>
      </c>
      <c r="O38" s="52"/>
      <c r="P38" s="54">
        <v>3409.7599999999998</v>
      </c>
      <c r="Q38" s="55">
        <f>'2022 Forecast Fix'!J53</f>
        <v>4213.49</v>
      </c>
      <c r="R38" s="55">
        <v>3713</v>
      </c>
      <c r="S38" s="52">
        <v>2500</v>
      </c>
      <c r="T38" s="53">
        <f>ROUND((S38-R38),5)</f>
        <v>-1213</v>
      </c>
      <c r="U38" s="52"/>
      <c r="V38" s="53">
        <v>3200</v>
      </c>
      <c r="W38" s="219">
        <f t="shared" si="6"/>
        <v>0.48520000000000002</v>
      </c>
      <c r="X38" s="77">
        <v>2350</v>
      </c>
      <c r="Y38" s="218">
        <f t="shared" si="1"/>
        <v>-0.36708860759493667</v>
      </c>
      <c r="Z38" s="97" t="s">
        <v>166</v>
      </c>
    </row>
    <row r="39" spans="2:26" outlineLevel="4" x14ac:dyDescent="0.25">
      <c r="B39" s="49"/>
      <c r="C39" s="50"/>
      <c r="D39" s="50"/>
      <c r="E39" s="50"/>
      <c r="F39" s="50" t="s">
        <v>203</v>
      </c>
      <c r="G39" s="50"/>
      <c r="H39" s="51"/>
      <c r="I39" s="52"/>
      <c r="J39" s="53"/>
      <c r="K39" s="52"/>
      <c r="L39" s="51"/>
      <c r="M39" s="52"/>
      <c r="N39" s="53"/>
      <c r="O39" s="52"/>
      <c r="P39" s="54"/>
      <c r="Q39" s="55"/>
      <c r="R39" s="55"/>
      <c r="S39" s="52"/>
      <c r="T39" s="53"/>
      <c r="U39" s="52"/>
      <c r="V39" s="53"/>
      <c r="W39" s="219"/>
      <c r="X39" s="77"/>
      <c r="Y39" s="218"/>
    </row>
    <row r="40" spans="2:26" outlineLevel="4" x14ac:dyDescent="0.25">
      <c r="B40" s="49"/>
      <c r="C40" s="50"/>
      <c r="D40" s="50"/>
      <c r="E40" s="50"/>
      <c r="F40" s="50"/>
      <c r="G40" s="50" t="s">
        <v>58</v>
      </c>
      <c r="H40" s="51">
        <v>10872</v>
      </c>
      <c r="I40" s="52">
        <v>10200</v>
      </c>
      <c r="J40" s="53">
        <f>ROUND((H40-I40),5)</f>
        <v>672</v>
      </c>
      <c r="K40" s="52"/>
      <c r="L40" s="51">
        <v>13568</v>
      </c>
      <c r="M40" s="52">
        <v>10000</v>
      </c>
      <c r="N40" s="53">
        <f>ROUND((L40-M40),5)</f>
        <v>3568</v>
      </c>
      <c r="O40" s="52"/>
      <c r="P40" s="54">
        <v>14201.33</v>
      </c>
      <c r="Q40" s="55">
        <f>'2022 Forecast Fix'!J55</f>
        <v>14633.33</v>
      </c>
      <c r="R40" s="55">
        <v>13788</v>
      </c>
      <c r="S40" s="52">
        <v>15000</v>
      </c>
      <c r="T40" s="53">
        <f>ROUND((S40-R40),5)</f>
        <v>1212</v>
      </c>
      <c r="U40" s="52"/>
      <c r="V40" s="53">
        <v>15000</v>
      </c>
      <c r="W40" s="219">
        <f t="shared" si="6"/>
        <v>-8.0799999999999997E-2</v>
      </c>
      <c r="X40" s="77">
        <v>15000</v>
      </c>
      <c r="Y40" s="218">
        <f t="shared" si="1"/>
        <v>8.7902523933855559E-2</v>
      </c>
    </row>
    <row r="41" spans="2:26" outlineLevel="4" x14ac:dyDescent="0.25">
      <c r="B41" s="49"/>
      <c r="C41" s="50"/>
      <c r="D41" s="50"/>
      <c r="E41" s="50"/>
      <c r="F41" s="50"/>
      <c r="G41" s="50" t="s">
        <v>59</v>
      </c>
      <c r="H41" s="51">
        <v>695</v>
      </c>
      <c r="I41" s="52">
        <v>1300</v>
      </c>
      <c r="J41" s="53">
        <f>ROUND((H41-I41),5)</f>
        <v>-605</v>
      </c>
      <c r="K41" s="52"/>
      <c r="L41" s="51">
        <v>592</v>
      </c>
      <c r="M41" s="52">
        <v>1000</v>
      </c>
      <c r="N41" s="53">
        <f>ROUND((L41-M41),5)</f>
        <v>-408</v>
      </c>
      <c r="O41" s="52"/>
      <c r="P41" s="54">
        <v>0</v>
      </c>
      <c r="Q41" s="55">
        <f>'2022 Forecast Fix'!J56</f>
        <v>519</v>
      </c>
      <c r="R41" s="55">
        <v>1607</v>
      </c>
      <c r="S41" s="52">
        <v>1000</v>
      </c>
      <c r="T41" s="53">
        <f>ROUND((S41-R41),5)</f>
        <v>-607</v>
      </c>
      <c r="U41" s="52"/>
      <c r="V41" s="53">
        <v>1000</v>
      </c>
      <c r="W41" s="219">
        <f t="shared" si="6"/>
        <v>0.60699999999999998</v>
      </c>
      <c r="X41" s="77">
        <v>1000</v>
      </c>
      <c r="Y41" s="218">
        <f t="shared" si="1"/>
        <v>-0.37772246421904165</v>
      </c>
    </row>
    <row r="42" spans="2:26" ht="12" outlineLevel="4" thickBot="1" x14ac:dyDescent="0.3">
      <c r="B42" s="49"/>
      <c r="C42" s="50"/>
      <c r="D42" s="50"/>
      <c r="E42" s="50"/>
      <c r="F42" s="56"/>
      <c r="G42" s="57" t="s">
        <v>60</v>
      </c>
      <c r="H42" s="58">
        <v>0</v>
      </c>
      <c r="I42" s="59"/>
      <c r="J42" s="60"/>
      <c r="K42" s="52"/>
      <c r="L42" s="58">
        <v>0</v>
      </c>
      <c r="M42" s="59">
        <v>0</v>
      </c>
      <c r="N42" s="60">
        <f>ROUND((L42-M42),5)</f>
        <v>0</v>
      </c>
      <c r="O42" s="52"/>
      <c r="P42" s="61">
        <v>315.77999999999997</v>
      </c>
      <c r="Q42" s="62">
        <f>'2022 Forecast Fix'!J57</f>
        <v>168</v>
      </c>
      <c r="R42" s="62">
        <f>'2022 Forecast Fix'!J57</f>
        <v>168</v>
      </c>
      <c r="S42" s="59">
        <v>170</v>
      </c>
      <c r="T42" s="60">
        <f>ROUND((S42-R42),5)</f>
        <v>2</v>
      </c>
      <c r="U42" s="52"/>
      <c r="V42" s="60">
        <v>320</v>
      </c>
      <c r="W42" s="223">
        <f t="shared" si="6"/>
        <v>-1.1764705882352941E-2</v>
      </c>
      <c r="X42" s="109">
        <v>170</v>
      </c>
      <c r="Y42" s="218">
        <f t="shared" si="1"/>
        <v>1.1904761904761862E-2</v>
      </c>
    </row>
    <row r="43" spans="2:26" outlineLevel="4" x14ac:dyDescent="0.25">
      <c r="B43" s="49"/>
      <c r="C43" s="50"/>
      <c r="D43" s="50"/>
      <c r="E43" s="50"/>
      <c r="F43" s="50" t="s">
        <v>204</v>
      </c>
      <c r="G43" s="50"/>
      <c r="H43" s="51">
        <f>ROUND(SUM(H39:H42),5)</f>
        <v>11567</v>
      </c>
      <c r="I43" s="52">
        <f>ROUND(SUM(I39:I42),5)</f>
        <v>11500</v>
      </c>
      <c r="J43" s="53">
        <f>ROUND((H43-I43),5)</f>
        <v>67</v>
      </c>
      <c r="K43" s="52"/>
      <c r="L43" s="51">
        <f>ROUND(SUM(L39:L42),5)</f>
        <v>14160</v>
      </c>
      <c r="M43" s="52">
        <f>ROUND(SUM(M39:M42),5)</f>
        <v>11000</v>
      </c>
      <c r="N43" s="53">
        <f>ROUND((L43-M43),5)</f>
        <v>3160</v>
      </c>
      <c r="O43" s="52"/>
      <c r="P43" s="54">
        <v>14517.11</v>
      </c>
      <c r="Q43" s="55">
        <f>ROUND(SUM(Q39:Q42),5)</f>
        <v>15320.33</v>
      </c>
      <c r="R43" s="55">
        <f>ROUND(SUM(R39:R42),5)</f>
        <v>15563</v>
      </c>
      <c r="S43" s="52">
        <f>ROUND(SUM(S39:S42),5)</f>
        <v>16170</v>
      </c>
      <c r="T43" s="53">
        <f>ROUND((S43-R43),5)</f>
        <v>607</v>
      </c>
      <c r="U43" s="52"/>
      <c r="V43" s="53">
        <f>ROUND(SUM(V39:V42),5)</f>
        <v>16320</v>
      </c>
      <c r="W43" s="219">
        <f t="shared" si="6"/>
        <v>-3.7538651824366109E-2</v>
      </c>
      <c r="X43" s="77">
        <f>ROUND(SUM(X39:X42),5)</f>
        <v>16170</v>
      </c>
      <c r="Y43" s="218">
        <f t="shared" si="1"/>
        <v>3.9002762963438853E-2</v>
      </c>
    </row>
    <row r="44" spans="2:26" outlineLevel="3" x14ac:dyDescent="0.25">
      <c r="B44" s="49"/>
      <c r="C44" s="50"/>
      <c r="D44" s="50"/>
      <c r="E44" s="50"/>
      <c r="F44" s="50" t="s">
        <v>62</v>
      </c>
      <c r="G44" s="50"/>
      <c r="H44" s="51">
        <v>913</v>
      </c>
      <c r="I44" s="52">
        <v>1500</v>
      </c>
      <c r="J44" s="53">
        <f>ROUND((H44-I44),5)</f>
        <v>-587</v>
      </c>
      <c r="K44" s="52"/>
      <c r="L44" s="51">
        <v>1791</v>
      </c>
      <c r="M44" s="52">
        <v>1500</v>
      </c>
      <c r="N44" s="53">
        <f>ROUND((L44-M44),5)</f>
        <v>291</v>
      </c>
      <c r="O44" s="52"/>
      <c r="P44" s="54">
        <v>1875.0900000000001</v>
      </c>
      <c r="Q44" s="55">
        <f>'2022 Forecast Fix'!J59</f>
        <v>1571.58</v>
      </c>
      <c r="R44" s="55">
        <v>1590</v>
      </c>
      <c r="S44" s="52">
        <v>1500</v>
      </c>
      <c r="T44" s="53">
        <f>ROUND((S44-R44),5)</f>
        <v>-90</v>
      </c>
      <c r="U44" s="52"/>
      <c r="V44" s="53">
        <v>2000</v>
      </c>
      <c r="W44" s="219">
        <f t="shared" si="6"/>
        <v>0.06</v>
      </c>
      <c r="X44" s="77">
        <v>2500</v>
      </c>
      <c r="Y44" s="218">
        <f t="shared" si="1"/>
        <v>0.57232704402515733</v>
      </c>
    </row>
    <row r="45" spans="2:26" outlineLevel="3" x14ac:dyDescent="0.25">
      <c r="B45" s="49"/>
      <c r="C45" s="50"/>
      <c r="D45" s="50"/>
      <c r="E45" s="50"/>
      <c r="F45" s="50" t="s">
        <v>63</v>
      </c>
      <c r="G45" s="50"/>
      <c r="H45" s="51"/>
      <c r="I45" s="52"/>
      <c r="J45" s="53"/>
      <c r="K45" s="52"/>
      <c r="L45" s="51"/>
      <c r="M45" s="52"/>
      <c r="N45" s="53"/>
      <c r="O45" s="52"/>
      <c r="P45" s="54"/>
      <c r="Q45" s="55">
        <f>'2022 Forecast Fix'!J60</f>
        <v>0</v>
      </c>
      <c r="R45" s="55">
        <f>'2022 Forecast Fix'!J60</f>
        <v>0</v>
      </c>
      <c r="S45" s="52"/>
      <c r="T45" s="53"/>
      <c r="U45" s="52"/>
      <c r="V45" s="53"/>
      <c r="W45" s="219"/>
      <c r="X45" s="77"/>
      <c r="Y45" s="218"/>
    </row>
    <row r="46" spans="2:26" outlineLevel="4" x14ac:dyDescent="0.25">
      <c r="B46" s="49"/>
      <c r="C46" s="50"/>
      <c r="D46" s="50"/>
      <c r="E46" s="50"/>
      <c r="F46" s="50"/>
      <c r="G46" s="50" t="s">
        <v>64</v>
      </c>
      <c r="H46" s="51">
        <v>988</v>
      </c>
      <c r="I46" s="52"/>
      <c r="J46" s="53"/>
      <c r="K46" s="52"/>
      <c r="L46" s="51">
        <v>224</v>
      </c>
      <c r="M46" s="52"/>
      <c r="N46" s="53"/>
      <c r="O46" s="52"/>
      <c r="P46" s="54">
        <v>2195.44</v>
      </c>
      <c r="Q46" s="55">
        <f>'2022 Forecast Fix'!J61</f>
        <v>1901.44</v>
      </c>
      <c r="R46" s="55">
        <v>2648</v>
      </c>
      <c r="S46" s="52"/>
      <c r="T46" s="53"/>
      <c r="U46" s="52"/>
      <c r="V46" s="53">
        <v>2000</v>
      </c>
      <c r="W46" s="219"/>
      <c r="X46" s="77">
        <v>2000</v>
      </c>
      <c r="Y46" s="218">
        <f t="shared" si="1"/>
        <v>-0.24471299093655585</v>
      </c>
    </row>
    <row r="47" spans="2:26" ht="12" outlineLevel="4" thickBot="1" x14ac:dyDescent="0.3">
      <c r="B47" s="49"/>
      <c r="C47" s="50"/>
      <c r="D47" s="50"/>
      <c r="E47" s="50"/>
      <c r="F47" s="56"/>
      <c r="G47" s="57" t="s">
        <v>65</v>
      </c>
      <c r="H47" s="58">
        <v>5136</v>
      </c>
      <c r="I47" s="59">
        <v>4000</v>
      </c>
      <c r="J47" s="60">
        <f>ROUND((H47-I47),5)</f>
        <v>1136</v>
      </c>
      <c r="K47" s="52"/>
      <c r="L47" s="58">
        <v>3648</v>
      </c>
      <c r="M47" s="59">
        <v>7000</v>
      </c>
      <c r="N47" s="60">
        <f>ROUND((L47-M47),5)</f>
        <v>-3352</v>
      </c>
      <c r="O47" s="52"/>
      <c r="P47" s="61">
        <v>4532.8999999999996</v>
      </c>
      <c r="Q47" s="62">
        <f>'2022 Forecast Fix'!J62</f>
        <v>5907.01</v>
      </c>
      <c r="R47" s="62">
        <v>5758</v>
      </c>
      <c r="S47" s="59">
        <v>6000</v>
      </c>
      <c r="T47" s="60">
        <f>ROUND((S47-R47),5)</f>
        <v>242</v>
      </c>
      <c r="U47" s="52"/>
      <c r="V47" s="60">
        <v>6000</v>
      </c>
      <c r="W47" s="223">
        <f t="shared" si="6"/>
        <v>-4.0333333333333332E-2</v>
      </c>
      <c r="X47" s="109">
        <v>4500</v>
      </c>
      <c r="Y47" s="218">
        <f t="shared" si="1"/>
        <v>-0.2184786384161167</v>
      </c>
    </row>
    <row r="48" spans="2:26" outlineLevel="4" x14ac:dyDescent="0.25">
      <c r="B48" s="49"/>
      <c r="C48" s="50"/>
      <c r="D48" s="50"/>
      <c r="E48" s="50"/>
      <c r="F48" s="50" t="s">
        <v>66</v>
      </c>
      <c r="G48" s="50"/>
      <c r="H48" s="51">
        <f>ROUND(SUM(H45:H47),5)</f>
        <v>6124</v>
      </c>
      <c r="I48" s="52">
        <f>ROUND(SUM(I45:I47),5)</f>
        <v>4000</v>
      </c>
      <c r="J48" s="53">
        <f>ROUND((H48-I48),5)</f>
        <v>2124</v>
      </c>
      <c r="K48" s="52"/>
      <c r="L48" s="51">
        <f>ROUND(SUM(L45:L47),5)</f>
        <v>3872</v>
      </c>
      <c r="M48" s="52">
        <f>ROUND(SUM(M45:M47),5)</f>
        <v>7000</v>
      </c>
      <c r="N48" s="53">
        <f>ROUND((L48-M48),5)</f>
        <v>-3128</v>
      </c>
      <c r="O48" s="52"/>
      <c r="P48" s="54">
        <v>6728.34</v>
      </c>
      <c r="Q48" s="55">
        <f>ROUND(SUM(Q45:Q47),5)</f>
        <v>7808.45</v>
      </c>
      <c r="R48" s="55">
        <f>ROUND(SUM(R45:R47),5)</f>
        <v>8406</v>
      </c>
      <c r="S48" s="52">
        <f>ROUND(SUM(S45:S47),5)</f>
        <v>6000</v>
      </c>
      <c r="T48" s="53">
        <f>ROUND((S48-R48),5)</f>
        <v>-2406</v>
      </c>
      <c r="U48" s="52"/>
      <c r="V48" s="53">
        <f>ROUND(SUM(V45:V47),5)</f>
        <v>8000</v>
      </c>
      <c r="W48" s="219">
        <f t="shared" si="6"/>
        <v>0.40100000000000002</v>
      </c>
      <c r="X48" s="77">
        <f>ROUND(SUM(X45:X47),5)</f>
        <v>6500</v>
      </c>
      <c r="Y48" s="218">
        <f t="shared" si="1"/>
        <v>-0.22674280275993342</v>
      </c>
    </row>
    <row r="49" spans="1:26" outlineLevel="3" x14ac:dyDescent="0.25">
      <c r="B49" s="49"/>
      <c r="C49" s="50"/>
      <c r="D49" s="50"/>
      <c r="E49" s="50"/>
      <c r="F49" s="50" t="s">
        <v>67</v>
      </c>
      <c r="G49" s="50"/>
      <c r="H49" s="51">
        <v>12670</v>
      </c>
      <c r="I49" s="52">
        <v>15000</v>
      </c>
      <c r="J49" s="53">
        <f>ROUND((H49-I49),5)</f>
        <v>-2330</v>
      </c>
      <c r="K49" s="52"/>
      <c r="L49" s="51">
        <v>8341</v>
      </c>
      <c r="M49" s="52">
        <v>15000</v>
      </c>
      <c r="N49" s="53">
        <f>ROUND((L49-M49),5)</f>
        <v>-6659</v>
      </c>
      <c r="O49" s="52"/>
      <c r="P49" s="54">
        <v>10306.31</v>
      </c>
      <c r="Q49" s="55">
        <f>'2022 Forecast Fix'!J64</f>
        <v>16316.310000000001</v>
      </c>
      <c r="R49" s="55">
        <v>19812</v>
      </c>
      <c r="S49" s="52">
        <v>15000</v>
      </c>
      <c r="T49" s="53">
        <f>ROUND((S49-R49),5)</f>
        <v>-4812</v>
      </c>
      <c r="U49" s="52"/>
      <c r="V49" s="53">
        <v>15000</v>
      </c>
      <c r="W49" s="219">
        <f t="shared" si="6"/>
        <v>0.32079999999999997</v>
      </c>
      <c r="X49" s="77">
        <v>15000</v>
      </c>
      <c r="Y49" s="218">
        <f t="shared" si="1"/>
        <v>-0.24288310115081768</v>
      </c>
    </row>
    <row r="50" spans="1:26" ht="12" outlineLevel="3" thickBot="1" x14ac:dyDescent="0.3">
      <c r="B50" s="49"/>
      <c r="C50" s="50"/>
      <c r="D50" s="50"/>
      <c r="E50" s="56"/>
      <c r="F50" s="56" t="s">
        <v>68</v>
      </c>
      <c r="G50" s="57"/>
      <c r="H50" s="58">
        <v>3877</v>
      </c>
      <c r="I50" s="59">
        <v>4500</v>
      </c>
      <c r="J50" s="60">
        <f>ROUND((H50-I50),5)</f>
        <v>-623</v>
      </c>
      <c r="K50" s="52"/>
      <c r="L50" s="58">
        <v>2302</v>
      </c>
      <c r="M50" s="59">
        <v>4500</v>
      </c>
      <c r="N50" s="60">
        <f>ROUND((L50-M50),5)</f>
        <v>-2198</v>
      </c>
      <c r="O50" s="52"/>
      <c r="P50" s="61">
        <v>4114.37</v>
      </c>
      <c r="Q50" s="62">
        <f>'2022 Forecast Fix'!J65</f>
        <v>3983</v>
      </c>
      <c r="R50" s="62">
        <v>3777</v>
      </c>
      <c r="S50" s="59">
        <v>4500</v>
      </c>
      <c r="T50" s="60">
        <f>ROUND((S50-R50),5)</f>
        <v>723</v>
      </c>
      <c r="U50" s="52"/>
      <c r="V50" s="60">
        <v>1000</v>
      </c>
      <c r="W50" s="223">
        <f t="shared" si="6"/>
        <v>-0.16066666666666668</v>
      </c>
      <c r="X50" s="109">
        <v>1000</v>
      </c>
      <c r="Y50" s="218">
        <f t="shared" si="1"/>
        <v>-0.73523960815462008</v>
      </c>
    </row>
    <row r="51" spans="1:26" outlineLevel="2" x14ac:dyDescent="0.25">
      <c r="B51" s="49"/>
      <c r="C51" s="50"/>
      <c r="D51" s="50"/>
      <c r="E51" s="50" t="s">
        <v>69</v>
      </c>
      <c r="F51" s="50"/>
      <c r="G51" s="50"/>
      <c r="H51" s="51">
        <f>ROUND(SUM(H35:H38)+SUM(H43:H44)+SUM(H48:H50),5)</f>
        <v>38756</v>
      </c>
      <c r="I51" s="52">
        <f>ROUND(SUM(I35:I38)+SUM(I43:I44)+SUM(I48:I50),5)</f>
        <v>40500</v>
      </c>
      <c r="J51" s="53">
        <f>ROUND((H51-I51),5)</f>
        <v>-1744</v>
      </c>
      <c r="K51" s="52"/>
      <c r="L51" s="51">
        <f>ROUND(SUM(L35:L38)+SUM(L43:L44)+SUM(L48:L50),5)</f>
        <v>35389</v>
      </c>
      <c r="M51" s="52">
        <f>ROUND(SUM(M35:M38)+SUM(M43:M44)+SUM(M48:M50),5)</f>
        <v>42500</v>
      </c>
      <c r="N51" s="53">
        <f>ROUND((L51-M51),5)</f>
        <v>-7111</v>
      </c>
      <c r="O51" s="52"/>
      <c r="P51" s="54">
        <v>42690.98</v>
      </c>
      <c r="Q51" s="55">
        <f>ROUND(SUM(Q35:Q38)+SUM(Q43:Q44)+SUM(Q48:Q50),5)</f>
        <v>68213.16</v>
      </c>
      <c r="R51" s="55">
        <f>ROUND(SUM(R35:R38)+SUM(R43:R44)+SUM(R48:R50),5)</f>
        <v>61441</v>
      </c>
      <c r="S51" s="52">
        <f>ROUND(SUM(S35:S38)+SUM(S43:S44)+SUM(S48:S50),5)</f>
        <v>67670</v>
      </c>
      <c r="T51" s="53">
        <f>ROUND((S51-R51),5)</f>
        <v>6229</v>
      </c>
      <c r="U51" s="52"/>
      <c r="V51" s="53">
        <f>ROUND(SUM(V35:V38)+SUM(V43:V44)+SUM(V48:V50),5)</f>
        <v>55520</v>
      </c>
      <c r="W51" s="219">
        <f t="shared" si="6"/>
        <v>-9.2049652726466674E-2</v>
      </c>
      <c r="X51" s="77">
        <f>ROUND(SUM(X35:X38)+SUM(X43:X44)+SUM(X48:X50),5)</f>
        <v>44520</v>
      </c>
      <c r="Y51" s="218">
        <f t="shared" si="1"/>
        <v>-0.2754024185804268</v>
      </c>
    </row>
    <row r="52" spans="1:26" x14ac:dyDescent="0.25">
      <c r="B52" s="49"/>
      <c r="C52" s="50"/>
      <c r="D52" s="50"/>
      <c r="E52" s="50" t="s">
        <v>70</v>
      </c>
      <c r="F52" s="50"/>
      <c r="G52" s="50"/>
      <c r="H52" s="51"/>
      <c r="I52" s="52"/>
      <c r="J52" s="53"/>
      <c r="K52" s="52"/>
      <c r="L52" s="51"/>
      <c r="M52" s="52"/>
      <c r="N52" s="53"/>
      <c r="O52" s="52"/>
      <c r="P52" s="54"/>
      <c r="Q52" s="55"/>
      <c r="R52" s="55"/>
      <c r="S52" s="52"/>
      <c r="T52" s="53"/>
      <c r="U52" s="52"/>
      <c r="V52" s="53"/>
      <c r="W52" s="219"/>
      <c r="X52" s="77"/>
      <c r="Y52" s="218"/>
    </row>
    <row r="53" spans="1:26" outlineLevel="2" x14ac:dyDescent="0.25">
      <c r="B53" s="49"/>
      <c r="C53" s="50"/>
      <c r="D53" s="50"/>
      <c r="E53" s="50"/>
      <c r="F53" s="50" t="s">
        <v>71</v>
      </c>
      <c r="G53" s="50"/>
      <c r="H53" s="51">
        <v>3475</v>
      </c>
      <c r="I53" s="52">
        <v>3400</v>
      </c>
      <c r="J53" s="53">
        <f t="shared" ref="J53:J61" si="10">ROUND((H53-I53),5)</f>
        <v>75</v>
      </c>
      <c r="K53" s="52"/>
      <c r="L53" s="51">
        <v>3643</v>
      </c>
      <c r="M53" s="52">
        <v>3400</v>
      </c>
      <c r="N53" s="53">
        <f t="shared" ref="N53:N61" si="11">ROUND((L53-M53),5)</f>
        <v>243</v>
      </c>
      <c r="O53" s="52"/>
      <c r="P53" s="54">
        <v>3858.33</v>
      </c>
      <c r="Q53" s="55">
        <v>3858.33</v>
      </c>
      <c r="R53" s="55">
        <v>3646</v>
      </c>
      <c r="S53" s="52">
        <v>3600</v>
      </c>
      <c r="T53" s="53">
        <f t="shared" ref="T53:T61" si="12">ROUND((S53-R53),5)</f>
        <v>-46</v>
      </c>
      <c r="U53" s="52"/>
      <c r="V53" s="53">
        <v>3900</v>
      </c>
      <c r="W53" s="219">
        <f t="shared" si="6"/>
        <v>1.2777777777777779E-2</v>
      </c>
      <c r="X53" s="77">
        <v>3900</v>
      </c>
      <c r="Y53" s="218">
        <f t="shared" si="1"/>
        <v>6.9665386725178191E-2</v>
      </c>
    </row>
    <row r="54" spans="1:26" outlineLevel="2" x14ac:dyDescent="0.25">
      <c r="B54" s="49"/>
      <c r="C54" s="50"/>
      <c r="D54" s="50"/>
      <c r="E54" s="50"/>
      <c r="F54" s="50" t="s">
        <v>72</v>
      </c>
      <c r="G54" s="50"/>
      <c r="H54" s="51">
        <v>9168</v>
      </c>
      <c r="I54" s="52">
        <v>8600</v>
      </c>
      <c r="J54" s="53">
        <f t="shared" si="10"/>
        <v>568</v>
      </c>
      <c r="K54" s="52"/>
      <c r="L54" s="51">
        <v>9659</v>
      </c>
      <c r="M54" s="52">
        <v>9000</v>
      </c>
      <c r="N54" s="53">
        <f t="shared" si="11"/>
        <v>659</v>
      </c>
      <c r="O54" s="52"/>
      <c r="P54" s="54">
        <v>10036.849999999999</v>
      </c>
      <c r="Q54" s="55">
        <v>10036.849999999999</v>
      </c>
      <c r="R54" s="55">
        <v>10303</v>
      </c>
      <c r="S54" s="52">
        <v>10000</v>
      </c>
      <c r="T54" s="53">
        <f t="shared" si="12"/>
        <v>-303</v>
      </c>
      <c r="U54" s="52"/>
      <c r="V54" s="53">
        <v>10000</v>
      </c>
      <c r="W54" s="219">
        <f t="shared" si="6"/>
        <v>3.0300000000000001E-2</v>
      </c>
      <c r="X54" s="77">
        <v>10000</v>
      </c>
      <c r="Y54" s="218">
        <f t="shared" si="1"/>
        <v>-2.9408910026205937E-2</v>
      </c>
    </row>
    <row r="55" spans="1:26" outlineLevel="2" x14ac:dyDescent="0.25">
      <c r="B55" s="49"/>
      <c r="C55" s="50"/>
      <c r="D55" s="50"/>
      <c r="E55" s="50"/>
      <c r="F55" s="50" t="s">
        <v>73</v>
      </c>
      <c r="G55" s="50"/>
      <c r="H55" s="51">
        <v>0</v>
      </c>
      <c r="I55" s="52">
        <v>12000</v>
      </c>
      <c r="J55" s="53">
        <f t="shared" si="10"/>
        <v>-12000</v>
      </c>
      <c r="K55" s="52"/>
      <c r="L55" s="51">
        <v>0</v>
      </c>
      <c r="M55" s="52">
        <v>12000</v>
      </c>
      <c r="N55" s="53">
        <f t="shared" si="11"/>
        <v>-12000</v>
      </c>
      <c r="O55" s="52"/>
      <c r="P55" s="54">
        <v>0</v>
      </c>
      <c r="Q55" s="55">
        <v>0</v>
      </c>
      <c r="R55" s="55">
        <v>0</v>
      </c>
      <c r="S55" s="52">
        <v>12000</v>
      </c>
      <c r="T55" s="53">
        <f t="shared" si="12"/>
        <v>12000</v>
      </c>
      <c r="U55" s="52"/>
      <c r="V55" s="53">
        <v>12000</v>
      </c>
      <c r="W55" s="219">
        <f t="shared" si="6"/>
        <v>-1</v>
      </c>
      <c r="X55" s="77">
        <v>12000</v>
      </c>
      <c r="Y55" s="218"/>
    </row>
    <row r="56" spans="1:26" ht="12" outlineLevel="2" thickBot="1" x14ac:dyDescent="0.3">
      <c r="B56" s="49"/>
      <c r="C56" s="50"/>
      <c r="D56" s="50"/>
      <c r="E56" s="56"/>
      <c r="F56" s="56" t="s">
        <v>74</v>
      </c>
      <c r="G56" s="57"/>
      <c r="H56" s="51">
        <f>H57-H54-H53</f>
        <v>1347</v>
      </c>
      <c r="I56" s="52">
        <v>3500</v>
      </c>
      <c r="J56" s="53">
        <f t="shared" si="10"/>
        <v>-2153</v>
      </c>
      <c r="K56" s="52"/>
      <c r="L56" s="51">
        <v>1521</v>
      </c>
      <c r="M56" s="52">
        <v>3500</v>
      </c>
      <c r="N56" s="53">
        <f t="shared" si="11"/>
        <v>-1979</v>
      </c>
      <c r="O56" s="52"/>
      <c r="P56" s="54">
        <v>1738.3600000000001</v>
      </c>
      <c r="Q56" s="55">
        <v>1512.94</v>
      </c>
      <c r="R56" s="55">
        <v>1990</v>
      </c>
      <c r="S56" s="52">
        <v>3000</v>
      </c>
      <c r="T56" s="53">
        <f t="shared" si="12"/>
        <v>1010</v>
      </c>
      <c r="U56" s="52"/>
      <c r="V56" s="53">
        <v>2000</v>
      </c>
      <c r="W56" s="219">
        <f t="shared" si="6"/>
        <v>-0.33666666666666667</v>
      </c>
      <c r="X56" s="77">
        <v>1500</v>
      </c>
      <c r="Y56" s="218">
        <f t="shared" si="1"/>
        <v>-0.24623115577889443</v>
      </c>
    </row>
    <row r="57" spans="1:26" ht="12" outlineLevel="2" thickBot="1" x14ac:dyDescent="0.3">
      <c r="B57" s="49"/>
      <c r="C57" s="50"/>
      <c r="D57" s="56"/>
      <c r="E57" s="56" t="s">
        <v>75</v>
      </c>
      <c r="F57" s="56"/>
      <c r="G57" s="57"/>
      <c r="H57" s="63">
        <v>13990</v>
      </c>
      <c r="I57" s="64">
        <f>ROUND(SUM(I52:I56),5)</f>
        <v>27500</v>
      </c>
      <c r="J57" s="65">
        <f t="shared" si="10"/>
        <v>-13510</v>
      </c>
      <c r="K57" s="52"/>
      <c r="L57" s="63">
        <f>ROUND(SUM(L52:L56),5)</f>
        <v>14823</v>
      </c>
      <c r="M57" s="64">
        <f>ROUND(SUM(M52:M56),5)</f>
        <v>27900</v>
      </c>
      <c r="N57" s="65">
        <f t="shared" si="11"/>
        <v>-13077</v>
      </c>
      <c r="O57" s="52"/>
      <c r="P57" s="71">
        <f>ROUND(SUM(P52:P56),5)</f>
        <v>15633.54</v>
      </c>
      <c r="Q57" s="72">
        <f>ROUND(SUM(Q52:Q56),5)</f>
        <v>15408.12</v>
      </c>
      <c r="R57" s="72">
        <f>ROUND(SUM(R52:R56),5)</f>
        <v>15939</v>
      </c>
      <c r="S57" s="64">
        <f>ROUND(SUM(S52:S56),5)</f>
        <v>28600</v>
      </c>
      <c r="T57" s="65">
        <f t="shared" si="12"/>
        <v>12661</v>
      </c>
      <c r="U57" s="52"/>
      <c r="V57" s="65">
        <f>ROUND(SUM(V52:V56),5)</f>
        <v>27900</v>
      </c>
      <c r="W57" s="226">
        <f t="shared" si="6"/>
        <v>-0.44269230769230772</v>
      </c>
      <c r="X57" s="112">
        <f>ROUND(SUM(X52:X56),5)</f>
        <v>27400</v>
      </c>
      <c r="Y57" s="218">
        <f t="shared" si="1"/>
        <v>0.71905389296693634</v>
      </c>
    </row>
    <row r="58" spans="1:26" ht="12" outlineLevel="1" thickBot="1" x14ac:dyDescent="0.3">
      <c r="B58" s="49"/>
      <c r="C58" s="56"/>
      <c r="D58" s="56" t="s">
        <v>85</v>
      </c>
      <c r="E58" s="56"/>
      <c r="F58" s="56"/>
      <c r="G58" s="57"/>
      <c r="H58" s="66">
        <f>ROUND(SUM(H17:H18)+H34+H51+H57,5)</f>
        <v>187169</v>
      </c>
      <c r="I58" s="67">
        <f>ROUND(SUM(I17:I18)+I34+I51+I57,5)</f>
        <v>196500</v>
      </c>
      <c r="J58" s="68">
        <f t="shared" si="10"/>
        <v>-9331</v>
      </c>
      <c r="K58" s="52"/>
      <c r="L58" s="66">
        <f>ROUND(SUM(L17:L18)+L34+L51+L57,5)</f>
        <v>185377</v>
      </c>
      <c r="M58" s="67">
        <f>ROUND(SUM(M17:M18)+M34+M51+M57,5)</f>
        <v>201650</v>
      </c>
      <c r="N58" s="68">
        <f t="shared" si="11"/>
        <v>-16273</v>
      </c>
      <c r="O58" s="52"/>
      <c r="P58" s="69">
        <f>ROUND(SUM(P17:P18)+P34+P51+P57,5)</f>
        <v>215771.87</v>
      </c>
      <c r="Q58" s="70">
        <f>ROUND(SUM(Q17:Q18)+Q34+Q51+Q57,5)</f>
        <v>239052.07</v>
      </c>
      <c r="R58" s="70">
        <f>ROUND(SUM(R17:R18)+R34+R51+R57,5)</f>
        <v>232709</v>
      </c>
      <c r="S58" s="67">
        <f>ROUND(SUM(S17:S18)+S34+S51+S57,5)</f>
        <v>240110</v>
      </c>
      <c r="T58" s="68">
        <f t="shared" si="12"/>
        <v>7401</v>
      </c>
      <c r="U58" s="52"/>
      <c r="V58" s="68">
        <f>ROUND(SUM(V17:V18)+V34+V51+V57,5)</f>
        <v>234370</v>
      </c>
      <c r="W58" s="224">
        <f t="shared" si="6"/>
        <v>-3.0823372620882097E-2</v>
      </c>
      <c r="X58" s="110">
        <f>ROUND(SUM(X17:X18)+X34+X51+X57,5)</f>
        <v>222870</v>
      </c>
      <c r="Y58" s="218">
        <f t="shared" si="1"/>
        <v>-4.2280272787043049E-2</v>
      </c>
    </row>
    <row r="59" spans="1:26" x14ac:dyDescent="0.25">
      <c r="B59" s="49"/>
      <c r="C59" s="33" t="s">
        <v>86</v>
      </c>
      <c r="D59" s="50"/>
      <c r="E59" s="50"/>
      <c r="F59" s="50"/>
      <c r="G59" s="50"/>
      <c r="H59" s="51">
        <f>ROUND(H16-H58,5)</f>
        <v>33714</v>
      </c>
      <c r="I59" s="52" t="e">
        <f>ROUND(#REF!+#REF!-I58,5)</f>
        <v>#REF!</v>
      </c>
      <c r="J59" s="53" t="e">
        <f t="shared" si="10"/>
        <v>#REF!</v>
      </c>
      <c r="K59" s="52"/>
      <c r="L59" s="51">
        <f>ROUND(L16-L58,5)</f>
        <v>38169</v>
      </c>
      <c r="M59" s="52" t="e">
        <f>ROUND(#REF!+#REF!-M58,5)</f>
        <v>#REF!</v>
      </c>
      <c r="N59" s="53" t="e">
        <f t="shared" si="11"/>
        <v>#REF!</v>
      </c>
      <c r="O59" s="52"/>
      <c r="P59" s="54" t="e">
        <f>ROUND(#REF!+#REF!-P58,5)</f>
        <v>#REF!</v>
      </c>
      <c r="Q59" s="55">
        <f>ROUND(Q16-Q58,5)</f>
        <v>15674.38</v>
      </c>
      <c r="R59" s="55">
        <f>ROUND(R16-R58,5)</f>
        <v>18965</v>
      </c>
      <c r="S59" s="52">
        <f>ROUND(S16-S58,5)</f>
        <v>6040</v>
      </c>
      <c r="T59" s="53">
        <f t="shared" si="12"/>
        <v>-12925</v>
      </c>
      <c r="U59" s="52"/>
      <c r="V59" s="53" t="e">
        <f>ROUND(#REF!+#REF!-V58,5)</f>
        <v>#REF!</v>
      </c>
      <c r="W59" s="219">
        <f t="shared" si="6"/>
        <v>2.1399006622516556</v>
      </c>
      <c r="X59" s="77">
        <f>ROUND(X16-X58,5)</f>
        <v>47980</v>
      </c>
      <c r="Y59" s="218">
        <f t="shared" si="1"/>
        <v>1.5299235433693648</v>
      </c>
    </row>
    <row r="60" spans="1:26" ht="12" outlineLevel="1" thickBot="1" x14ac:dyDescent="0.3">
      <c r="B60" s="49"/>
      <c r="C60" s="73" t="s">
        <v>168</v>
      </c>
      <c r="D60" s="49"/>
      <c r="E60" s="50"/>
      <c r="F60" s="50"/>
      <c r="G60" s="50"/>
      <c r="H60" s="74">
        <v>-50004</v>
      </c>
      <c r="I60" s="75">
        <v>-50000</v>
      </c>
      <c r="J60" s="76">
        <f t="shared" si="10"/>
        <v>-4</v>
      </c>
      <c r="K60" s="75"/>
      <c r="L60" s="74">
        <v>-30000</v>
      </c>
      <c r="M60" s="52">
        <v>-30000</v>
      </c>
      <c r="N60" s="53">
        <f t="shared" si="11"/>
        <v>0</v>
      </c>
      <c r="O60" s="52"/>
      <c r="P60" s="54">
        <v>-30000</v>
      </c>
      <c r="Q60" s="55">
        <v>-40000</v>
      </c>
      <c r="R60" s="55">
        <v>-40000</v>
      </c>
      <c r="S60" s="52">
        <v>-30000</v>
      </c>
      <c r="T60" s="53">
        <f t="shared" si="12"/>
        <v>10000</v>
      </c>
      <c r="U60" s="52"/>
      <c r="V60" s="53"/>
      <c r="W60" s="219">
        <f t="shared" si="6"/>
        <v>0.33333333333333331</v>
      </c>
      <c r="X60" s="77">
        <v>-50000</v>
      </c>
      <c r="Y60" s="218">
        <f t="shared" si="1"/>
        <v>0.25</v>
      </c>
      <c r="Z60" s="30" t="s">
        <v>169</v>
      </c>
    </row>
    <row r="61" spans="1:26" ht="12" outlineLevel="1" thickBot="1" x14ac:dyDescent="0.3">
      <c r="A61" s="30"/>
      <c r="B61" s="78" t="s">
        <v>88</v>
      </c>
      <c r="C61" s="56"/>
      <c r="D61" s="56"/>
      <c r="E61" s="56"/>
      <c r="F61" s="56"/>
      <c r="G61" s="57"/>
      <c r="H61" s="79">
        <f>ROUND(SUM(H59:H60),5)</f>
        <v>-16290</v>
      </c>
      <c r="I61" s="80" t="e">
        <f>ROUND(SUM(I59:I60),5)</f>
        <v>#REF!</v>
      </c>
      <c r="J61" s="81" t="e">
        <f t="shared" si="10"/>
        <v>#REF!</v>
      </c>
      <c r="K61" s="56"/>
      <c r="L61" s="79">
        <f>ROUND(SUM(L59:L60),5)</f>
        <v>8169</v>
      </c>
      <c r="M61" s="80" t="e">
        <f>ROUND(SUM(M59:M60),5)</f>
        <v>#REF!</v>
      </c>
      <c r="N61" s="81" t="e">
        <f t="shared" si="11"/>
        <v>#REF!</v>
      </c>
      <c r="O61" s="56"/>
      <c r="P61" s="82" t="e">
        <f>ROUND(SUM(P59:P60),5)</f>
        <v>#REF!</v>
      </c>
      <c r="Q61" s="83">
        <f>ROUND(SUM(Q59:Q60),5)</f>
        <v>-24325.62</v>
      </c>
      <c r="R61" s="83">
        <f>ROUND(SUM(R59:R60),5)</f>
        <v>-21035</v>
      </c>
      <c r="S61" s="80">
        <f>ROUND(SUM(S59:S60),5)</f>
        <v>-23960</v>
      </c>
      <c r="T61" s="81">
        <f t="shared" si="12"/>
        <v>-2925</v>
      </c>
      <c r="U61" s="59"/>
      <c r="V61" s="81" t="e">
        <f>ROUND(SUM(V59:V60),5)</f>
        <v>#REF!</v>
      </c>
      <c r="W61" s="227">
        <f t="shared" si="0"/>
        <v>0.12207846410684474</v>
      </c>
      <c r="X61" s="113">
        <f>ROUND(SUM(X59:X60),5)</f>
        <v>-2020</v>
      </c>
      <c r="Y61" s="218">
        <f t="shared" si="1"/>
        <v>-0.90396957451865934</v>
      </c>
    </row>
    <row r="62" spans="1:26" x14ac:dyDescent="0.25">
      <c r="B62" s="32" t="s">
        <v>170</v>
      </c>
      <c r="C62" s="33"/>
      <c r="D62" s="33"/>
      <c r="E62" s="33"/>
      <c r="F62" s="33"/>
      <c r="G62" s="33"/>
      <c r="H62" s="37">
        <v>15221</v>
      </c>
      <c r="I62" s="37"/>
      <c r="J62" s="37"/>
      <c r="K62" s="37"/>
      <c r="L62" s="37">
        <v>20525</v>
      </c>
      <c r="M62" s="37"/>
      <c r="N62" s="37"/>
      <c r="O62" s="37"/>
      <c r="P62" s="37"/>
      <c r="Q62" s="86">
        <v>28695</v>
      </c>
      <c r="R62" s="86">
        <v>28695</v>
      </c>
      <c r="S62" s="37">
        <v>28434</v>
      </c>
      <c r="T62" s="88"/>
      <c r="U62" s="37"/>
      <c r="V62" s="37"/>
      <c r="W62" s="228">
        <f t="shared" si="0"/>
        <v>0</v>
      </c>
      <c r="X62" s="114">
        <f>R64</f>
        <v>7660</v>
      </c>
      <c r="Y62" s="218">
        <f t="shared" si="1"/>
        <v>-0.73305453911831331</v>
      </c>
      <c r="Z62" s="30" t="s">
        <v>173</v>
      </c>
    </row>
    <row r="63" spans="1:26" x14ac:dyDescent="0.25">
      <c r="B63" s="98"/>
      <c r="C63" s="99" t="s">
        <v>172</v>
      </c>
      <c r="D63" s="99"/>
      <c r="E63" s="99"/>
      <c r="F63" s="99"/>
      <c r="G63" s="99"/>
      <c r="H63" s="100">
        <v>21594</v>
      </c>
      <c r="I63" s="100"/>
      <c r="J63" s="100"/>
      <c r="K63" s="100"/>
      <c r="L63" s="100"/>
      <c r="M63" s="100"/>
      <c r="N63" s="100"/>
      <c r="O63" s="100"/>
      <c r="P63" s="100"/>
      <c r="Q63" s="101"/>
      <c r="R63" s="101"/>
      <c r="S63" s="100"/>
      <c r="T63" s="102"/>
      <c r="U63" s="100"/>
      <c r="V63" s="100"/>
      <c r="W63" s="229"/>
      <c r="X63" s="115"/>
      <c r="Y63" s="218"/>
    </row>
    <row r="64" spans="1:26" ht="12" thickBot="1" x14ac:dyDescent="0.3">
      <c r="B64" s="78" t="s">
        <v>171</v>
      </c>
      <c r="C64" s="56"/>
      <c r="D64" s="56"/>
      <c r="E64" s="56"/>
      <c r="F64" s="56"/>
      <c r="G64" s="56"/>
      <c r="H64" s="84">
        <f>SUM(H61:H63)</f>
        <v>20525</v>
      </c>
      <c r="I64" s="84"/>
      <c r="J64" s="84"/>
      <c r="K64" s="84"/>
      <c r="L64" s="84">
        <f>L62+L61</f>
        <v>28694</v>
      </c>
      <c r="M64" s="84"/>
      <c r="N64" s="84"/>
      <c r="O64" s="84"/>
      <c r="P64" s="84"/>
      <c r="Q64" s="87">
        <f>Q62+Q61</f>
        <v>4369.380000000001</v>
      </c>
      <c r="R64" s="87">
        <f>R62+R61</f>
        <v>7660</v>
      </c>
      <c r="S64" s="85">
        <f>S62+S61</f>
        <v>4474</v>
      </c>
      <c r="T64" s="60">
        <f>-ROUND((S64-R64),5)</f>
        <v>3186</v>
      </c>
      <c r="U64" s="84"/>
      <c r="V64" s="84"/>
      <c r="W64" s="230">
        <f t="shared" si="0"/>
        <v>0.71211443898077786</v>
      </c>
      <c r="X64" s="116">
        <f>X62+X61</f>
        <v>5640</v>
      </c>
      <c r="Y64" s="218">
        <f t="shared" si="1"/>
        <v>-0.26370757180156656</v>
      </c>
    </row>
  </sheetData>
  <dataConsolidate/>
  <mergeCells count="1">
    <mergeCell ref="Q2:T2"/>
  </mergeCells>
  <pageMargins left="0.25" right="0.25" top="0.75" bottom="0.75" header="0.3" footer="0.3"/>
  <pageSetup scale="61" orientation="landscape" r:id="rId1"/>
  <headerFooter>
    <oddHeader>&amp;L&amp;"Arial,Bold"&amp;8&amp;D&amp;C&amp;"Arial,Bold"&amp;12 Dockton Water Association
&amp;14 DRAFT Budget - Operations
&amp;10 FIscal Year 2022-2023</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83"/>
  <sheetViews>
    <sheetView zoomScale="94" zoomScaleNormal="125" workbookViewId="0">
      <selection activeCell="K76" sqref="K76"/>
    </sheetView>
  </sheetViews>
  <sheetFormatPr defaultColWidth="9.08984375" defaultRowHeight="13" outlineLevelRow="1" x14ac:dyDescent="0.3"/>
  <cols>
    <col min="1" max="1" width="3.36328125" style="180" customWidth="1"/>
    <col min="2" max="4" width="1.08984375" style="182" customWidth="1"/>
    <col min="5" max="5" width="1.90625" style="182" customWidth="1"/>
    <col min="6" max="6" width="34.453125" style="182" customWidth="1"/>
    <col min="7" max="11" width="10.54296875" style="181" customWidth="1"/>
    <col min="12" max="12" width="4.54296875" style="181" customWidth="1"/>
    <col min="13" max="14" width="10.54296875" style="181" customWidth="1"/>
    <col min="15" max="15" width="11.36328125" style="181" customWidth="1"/>
    <col min="16" max="16" width="10.54296875" style="181" customWidth="1"/>
    <col min="17" max="16384" width="9.08984375" style="180"/>
  </cols>
  <sheetData>
    <row r="2" spans="2:16" ht="13.5" thickBot="1" x14ac:dyDescent="0.35">
      <c r="G2" s="433" t="s">
        <v>259</v>
      </c>
      <c r="H2" s="434"/>
      <c r="I2" s="434"/>
      <c r="J2" s="434"/>
      <c r="K2" s="435"/>
      <c r="M2" s="433" t="s">
        <v>258</v>
      </c>
      <c r="N2" s="434"/>
      <c r="O2" s="434"/>
      <c r="P2" s="435"/>
    </row>
    <row r="3" spans="2:16" s="203" customFormat="1" ht="13.5" thickBot="1" x14ac:dyDescent="0.35">
      <c r="B3" s="209"/>
      <c r="C3" s="209"/>
      <c r="D3" s="209"/>
      <c r="E3" s="209"/>
      <c r="F3" s="209"/>
      <c r="G3" s="212" t="s">
        <v>146</v>
      </c>
      <c r="H3" s="211" t="s">
        <v>148</v>
      </c>
      <c r="I3" s="236" t="s">
        <v>154</v>
      </c>
      <c r="J3" s="236" t="s">
        <v>268</v>
      </c>
      <c r="K3" s="210" t="s">
        <v>151</v>
      </c>
      <c r="L3" s="211"/>
      <c r="M3" s="212" t="s">
        <v>146</v>
      </c>
      <c r="N3" s="211" t="s">
        <v>148</v>
      </c>
      <c r="O3" s="211" t="s">
        <v>260</v>
      </c>
      <c r="P3" s="210" t="s">
        <v>151</v>
      </c>
    </row>
    <row r="4" spans="2:16" s="203" customFormat="1" ht="13.5" thickTop="1" x14ac:dyDescent="0.3">
      <c r="B4" s="209"/>
      <c r="C4" s="209"/>
      <c r="D4" s="209"/>
      <c r="E4" s="209"/>
      <c r="F4" s="209"/>
      <c r="G4" s="208"/>
      <c r="H4" s="207"/>
      <c r="I4" s="207"/>
      <c r="J4" s="207"/>
      <c r="K4" s="202" t="s">
        <v>257</v>
      </c>
      <c r="L4" s="207"/>
      <c r="M4" s="208"/>
      <c r="N4" s="207"/>
      <c r="O4" s="207"/>
      <c r="P4" s="202" t="s">
        <v>257</v>
      </c>
    </row>
    <row r="5" spans="2:16" s="203" customFormat="1" x14ac:dyDescent="0.3">
      <c r="B5" s="422" t="s">
        <v>256</v>
      </c>
      <c r="C5" s="422"/>
      <c r="D5" s="422"/>
      <c r="E5" s="422"/>
      <c r="F5" s="422"/>
      <c r="G5" s="206">
        <v>201939</v>
      </c>
      <c r="H5" s="205" t="s">
        <v>255</v>
      </c>
      <c r="I5" s="205" t="s">
        <v>254</v>
      </c>
      <c r="J5" s="205">
        <f>I78</f>
        <v>275069.01</v>
      </c>
      <c r="K5" s="204">
        <f>I78</f>
        <v>275069.01</v>
      </c>
      <c r="L5" s="205"/>
      <c r="M5" s="206">
        <v>322231</v>
      </c>
      <c r="N5" s="205" t="s">
        <v>253</v>
      </c>
      <c r="O5" s="205" t="s">
        <v>252</v>
      </c>
      <c r="P5" s="204">
        <f>O78</f>
        <v>-78202.59</v>
      </c>
    </row>
    <row r="6" spans="2:16" s="184" customFormat="1" outlineLevel="1" x14ac:dyDescent="0.3">
      <c r="B6" s="194"/>
      <c r="C6" s="194" t="s">
        <v>251</v>
      </c>
      <c r="D6" s="194"/>
      <c r="E6" s="194"/>
      <c r="F6" s="194"/>
      <c r="G6" s="200"/>
      <c r="H6" s="199"/>
      <c r="I6" s="199"/>
      <c r="J6" s="199"/>
      <c r="K6" s="202"/>
      <c r="L6" s="201"/>
      <c r="M6" s="200"/>
      <c r="N6" s="199"/>
      <c r="O6" s="199"/>
      <c r="P6" s="202"/>
    </row>
    <row r="7" spans="2:16" outlineLevel="1" x14ac:dyDescent="0.3">
      <c r="B7" s="190"/>
      <c r="C7" s="190"/>
      <c r="D7" s="190" t="s">
        <v>9</v>
      </c>
      <c r="E7" s="190"/>
      <c r="G7" s="197">
        <v>0</v>
      </c>
      <c r="H7" s="196">
        <v>0</v>
      </c>
      <c r="I7" s="196">
        <v>0</v>
      </c>
      <c r="J7" s="196"/>
      <c r="K7" s="195">
        <v>0</v>
      </c>
      <c r="L7" s="183"/>
      <c r="M7" s="197">
        <v>15766.03</v>
      </c>
      <c r="N7" s="196">
        <v>14335.66</v>
      </c>
      <c r="O7" s="196">
        <v>13783</v>
      </c>
      <c r="P7" s="195">
        <v>14000</v>
      </c>
    </row>
    <row r="8" spans="2:16" outlineLevel="1" x14ac:dyDescent="0.3">
      <c r="B8" s="190"/>
      <c r="C8" s="190"/>
      <c r="D8" s="190" t="s">
        <v>16</v>
      </c>
      <c r="E8" s="190"/>
      <c r="G8" s="197">
        <v>0</v>
      </c>
      <c r="H8" s="196">
        <v>0</v>
      </c>
      <c r="I8" s="196">
        <v>0</v>
      </c>
      <c r="J8" s="196"/>
      <c r="K8" s="195">
        <v>0</v>
      </c>
      <c r="L8" s="183"/>
      <c r="M8" s="197">
        <v>68040</v>
      </c>
      <c r="N8" s="196">
        <v>67680</v>
      </c>
      <c r="O8" s="196">
        <v>67704</v>
      </c>
      <c r="P8" s="195">
        <v>68000</v>
      </c>
    </row>
    <row r="9" spans="2:16" outlineLevel="1" x14ac:dyDescent="0.3">
      <c r="B9" s="190"/>
      <c r="C9" s="190"/>
      <c r="D9" s="190" t="s">
        <v>20</v>
      </c>
      <c r="E9" s="190"/>
      <c r="G9" s="197">
        <v>0</v>
      </c>
      <c r="H9" s="196">
        <v>0</v>
      </c>
      <c r="I9" s="196">
        <v>0</v>
      </c>
      <c r="J9" s="196"/>
      <c r="K9" s="195">
        <v>0</v>
      </c>
      <c r="L9" s="183"/>
      <c r="M9" s="197">
        <v>0</v>
      </c>
      <c r="N9" s="196">
        <v>5457.41</v>
      </c>
      <c r="O9" s="196">
        <v>23392.32</v>
      </c>
      <c r="P9" s="195">
        <v>0</v>
      </c>
    </row>
    <row r="10" spans="2:16" outlineLevel="1" x14ac:dyDescent="0.3">
      <c r="B10" s="190"/>
      <c r="C10" s="190"/>
      <c r="D10" s="190" t="s">
        <v>30</v>
      </c>
      <c r="E10" s="190"/>
      <c r="G10" s="197">
        <v>0</v>
      </c>
      <c r="H10" s="196">
        <v>0</v>
      </c>
      <c r="I10" s="196">
        <v>0</v>
      </c>
      <c r="J10" s="196"/>
      <c r="K10" s="195">
        <v>0</v>
      </c>
      <c r="L10" s="183"/>
      <c r="M10" s="197">
        <v>818.37</v>
      </c>
      <c r="N10" s="196">
        <v>587.65</v>
      </c>
      <c r="O10" s="196">
        <v>206</v>
      </c>
      <c r="P10" s="195">
        <v>200</v>
      </c>
    </row>
    <row r="11" spans="2:16" outlineLevel="1" x14ac:dyDescent="0.3">
      <c r="B11" s="190"/>
      <c r="C11" s="190"/>
      <c r="D11" s="190" t="s">
        <v>250</v>
      </c>
      <c r="E11" s="190"/>
      <c r="G11" s="197"/>
      <c r="H11" s="196"/>
      <c r="I11" s="196"/>
      <c r="J11" s="196"/>
      <c r="K11" s="195"/>
      <c r="L11" s="183"/>
      <c r="M11" s="197"/>
      <c r="N11" s="196">
        <v>250000</v>
      </c>
      <c r="O11" s="196"/>
      <c r="P11" s="195">
        <v>0</v>
      </c>
    </row>
    <row r="12" spans="2:16" outlineLevel="1" x14ac:dyDescent="0.3">
      <c r="B12" s="190"/>
      <c r="C12" s="190"/>
      <c r="D12" s="190" t="s">
        <v>249</v>
      </c>
      <c r="E12" s="190"/>
      <c r="G12" s="197">
        <v>50004</v>
      </c>
      <c r="H12" s="196">
        <v>30000</v>
      </c>
      <c r="I12" s="196">
        <f>-'2023 Ops Budget'!R60</f>
        <v>40000</v>
      </c>
      <c r="J12" s="237">
        <v>40000</v>
      </c>
      <c r="K12" s="195">
        <v>50000</v>
      </c>
      <c r="L12" s="196"/>
      <c r="M12" s="197">
        <v>0</v>
      </c>
      <c r="N12" s="196">
        <v>0</v>
      </c>
      <c r="O12" s="196">
        <v>0</v>
      </c>
      <c r="P12" s="195">
        <v>0</v>
      </c>
    </row>
    <row r="13" spans="2:16" s="184" customFormat="1" x14ac:dyDescent="0.3">
      <c r="B13" s="194"/>
      <c r="C13" s="194" t="s">
        <v>248</v>
      </c>
      <c r="D13" s="194"/>
      <c r="F13" s="194"/>
      <c r="G13" s="200">
        <f>ROUND(SUM(G7:G12),5)</f>
        <v>50004</v>
      </c>
      <c r="H13" s="199">
        <f>ROUND(SUM(H7:H12),5)</f>
        <v>30000</v>
      </c>
      <c r="I13" s="199">
        <f>ROUND(SUM(I7:I12),5)</f>
        <v>40000</v>
      </c>
      <c r="J13" s="199">
        <f>ROUND(SUM(J7:J12),5)</f>
        <v>40000</v>
      </c>
      <c r="K13" s="198">
        <f>ROUND(SUM(K7:K12),5)</f>
        <v>50000</v>
      </c>
      <c r="L13" s="201"/>
      <c r="M13" s="200">
        <f>ROUND(SUM(M7:M12),5)</f>
        <v>84624.4</v>
      </c>
      <c r="N13" s="199">
        <f>ROUND(SUM(N7:N12),5)</f>
        <v>338060.72</v>
      </c>
      <c r="O13" s="199">
        <f>ROUND(SUM(O7:O12),5)</f>
        <v>105085.32</v>
      </c>
      <c r="P13" s="198">
        <f>ROUND(SUM(P7:P12),5)</f>
        <v>82200</v>
      </c>
    </row>
    <row r="14" spans="2:16" x14ac:dyDescent="0.3">
      <c r="B14" s="190"/>
      <c r="C14" s="194" t="s">
        <v>247</v>
      </c>
      <c r="D14" s="190"/>
      <c r="F14" s="190"/>
      <c r="G14" s="197"/>
      <c r="H14" s="196"/>
      <c r="I14" s="196"/>
      <c r="J14" s="196"/>
      <c r="K14" s="195"/>
      <c r="L14" s="183"/>
      <c r="M14" s="197"/>
      <c r="N14" s="196"/>
      <c r="O14" s="196"/>
      <c r="P14" s="195"/>
    </row>
    <row r="15" spans="2:16" x14ac:dyDescent="0.3">
      <c r="B15" s="190"/>
      <c r="C15" s="190"/>
      <c r="D15" s="190" t="s">
        <v>39</v>
      </c>
      <c r="E15" s="190"/>
      <c r="F15" s="190"/>
      <c r="G15" s="197">
        <v>0</v>
      </c>
      <c r="H15" s="196">
        <v>0</v>
      </c>
      <c r="I15" s="196">
        <v>0</v>
      </c>
      <c r="J15" s="196"/>
      <c r="K15" s="195">
        <v>0</v>
      </c>
      <c r="L15" s="183"/>
      <c r="M15" s="197">
        <v>0</v>
      </c>
      <c r="N15" s="196">
        <v>2909.98</v>
      </c>
      <c r="O15" s="196">
        <v>0</v>
      </c>
      <c r="P15" s="195">
        <v>0</v>
      </c>
    </row>
    <row r="16" spans="2:16" x14ac:dyDescent="0.3">
      <c r="B16" s="190"/>
      <c r="C16" s="190"/>
      <c r="D16" s="190" t="s">
        <v>40</v>
      </c>
      <c r="E16" s="190"/>
      <c r="F16" s="190"/>
      <c r="G16" s="197">
        <v>0</v>
      </c>
      <c r="H16" s="196">
        <v>0</v>
      </c>
      <c r="I16" s="196">
        <v>0</v>
      </c>
      <c r="J16" s="196"/>
      <c r="K16" s="195">
        <v>0</v>
      </c>
      <c r="L16" s="183"/>
      <c r="M16" s="197">
        <v>2942.16</v>
      </c>
      <c r="N16" s="196">
        <v>5293.55</v>
      </c>
      <c r="O16" s="196">
        <v>16143</v>
      </c>
      <c r="P16" s="195">
        <v>15000</v>
      </c>
    </row>
    <row r="17" spans="2:16" collapsed="1" x14ac:dyDescent="0.3">
      <c r="B17" s="190"/>
      <c r="C17" s="190"/>
      <c r="D17" s="190" t="s">
        <v>246</v>
      </c>
      <c r="E17" s="190"/>
      <c r="F17" s="180"/>
      <c r="G17" s="197">
        <v>0</v>
      </c>
      <c r="H17" s="196">
        <v>0</v>
      </c>
      <c r="I17" s="196">
        <v>0</v>
      </c>
      <c r="J17" s="196"/>
      <c r="K17" s="195">
        <v>0</v>
      </c>
      <c r="L17" s="183"/>
      <c r="M17" s="197">
        <v>28020.6</v>
      </c>
      <c r="N17" s="196">
        <v>29487.94</v>
      </c>
      <c r="O17" s="196">
        <v>36739</v>
      </c>
      <c r="P17" s="195">
        <v>36500</v>
      </c>
    </row>
    <row r="18" spans="2:16" x14ac:dyDescent="0.3">
      <c r="B18" s="190"/>
      <c r="C18" s="190"/>
      <c r="D18" s="194" t="s">
        <v>77</v>
      </c>
      <c r="E18" s="190"/>
      <c r="G18" s="197"/>
      <c r="H18" s="196"/>
      <c r="I18" s="196"/>
      <c r="J18" s="196"/>
      <c r="K18" s="195"/>
      <c r="L18" s="183"/>
      <c r="M18" s="197"/>
      <c r="N18" s="196"/>
      <c r="O18" s="196"/>
      <c r="P18" s="195"/>
    </row>
    <row r="19" spans="2:16" hidden="1" outlineLevel="1" x14ac:dyDescent="0.3">
      <c r="B19" s="190"/>
      <c r="C19" s="190"/>
      <c r="D19" s="190"/>
      <c r="E19" s="190" t="s">
        <v>78</v>
      </c>
      <c r="F19" s="190"/>
      <c r="G19" s="197"/>
      <c r="H19" s="196"/>
      <c r="I19" s="196"/>
      <c r="J19" s="196"/>
      <c r="K19" s="195"/>
      <c r="L19" s="183"/>
      <c r="M19" s="197"/>
      <c r="N19" s="196"/>
      <c r="O19" s="196"/>
      <c r="P19" s="195"/>
    </row>
    <row r="20" spans="2:16" hidden="1" outlineLevel="1" x14ac:dyDescent="0.3">
      <c r="B20" s="190"/>
      <c r="C20" s="190"/>
      <c r="D20" s="190"/>
      <c r="E20" s="190"/>
      <c r="F20" s="190" t="s">
        <v>176</v>
      </c>
      <c r="G20" s="197">
        <v>0</v>
      </c>
      <c r="H20" s="196">
        <v>2661.19</v>
      </c>
      <c r="I20" s="196">
        <v>253.99</v>
      </c>
      <c r="J20" s="196"/>
      <c r="K20" s="195">
        <v>3000</v>
      </c>
      <c r="L20" s="183"/>
      <c r="M20" s="197">
        <v>0</v>
      </c>
      <c r="N20" s="196">
        <v>0</v>
      </c>
      <c r="O20" s="196">
        <v>0</v>
      </c>
      <c r="P20" s="195">
        <v>0</v>
      </c>
    </row>
    <row r="21" spans="2:16" hidden="1" outlineLevel="1" x14ac:dyDescent="0.3">
      <c r="B21" s="190"/>
      <c r="C21" s="190"/>
      <c r="D21" s="190"/>
      <c r="E21" s="190"/>
      <c r="F21" s="190" t="s">
        <v>245</v>
      </c>
      <c r="G21" s="197">
        <v>0</v>
      </c>
      <c r="H21" s="196">
        <v>0</v>
      </c>
      <c r="I21" s="196">
        <v>0</v>
      </c>
      <c r="J21" s="196"/>
      <c r="K21" s="195">
        <v>0</v>
      </c>
      <c r="L21" s="183"/>
      <c r="M21" s="197">
        <v>0</v>
      </c>
      <c r="N21" s="196">
        <v>0</v>
      </c>
      <c r="O21" s="196">
        <v>0</v>
      </c>
      <c r="P21" s="195">
        <v>0</v>
      </c>
    </row>
    <row r="22" spans="2:16" s="184" customFormat="1" collapsed="1" x14ac:dyDescent="0.3">
      <c r="B22" s="194"/>
      <c r="C22" s="194"/>
      <c r="D22" s="194"/>
      <c r="E22" s="194" t="s">
        <v>177</v>
      </c>
      <c r="F22" s="194"/>
      <c r="G22" s="200">
        <f>ROUND(SUM(G19:G21),5)</f>
        <v>0</v>
      </c>
      <c r="H22" s="199">
        <f>ROUND(SUM(H19:H21),5)</f>
        <v>2661.19</v>
      </c>
      <c r="I22" s="199">
        <f>ROUND(SUM(I19:I21),5)</f>
        <v>253.99</v>
      </c>
      <c r="J22" s="199">
        <v>1857</v>
      </c>
      <c r="K22" s="198">
        <f>ROUND(SUM(K19:K21),5)</f>
        <v>3000</v>
      </c>
      <c r="L22" s="201"/>
      <c r="M22" s="200">
        <f>ROUND(SUM(M19:M21),5)</f>
        <v>0</v>
      </c>
      <c r="N22" s="199">
        <f>ROUND(SUM(N19:N21),5)</f>
        <v>0</v>
      </c>
      <c r="O22" s="199">
        <f>ROUND(SUM(O19:O21),5)</f>
        <v>0</v>
      </c>
      <c r="P22" s="198"/>
    </row>
    <row r="23" spans="2:16" hidden="1" outlineLevel="1" x14ac:dyDescent="0.3">
      <c r="B23" s="190"/>
      <c r="C23" s="190"/>
      <c r="D23" s="190"/>
      <c r="E23" s="190" t="s">
        <v>80</v>
      </c>
      <c r="F23" s="190"/>
      <c r="G23" s="197"/>
      <c r="H23" s="196"/>
      <c r="I23" s="196"/>
      <c r="J23" s="196"/>
      <c r="K23" s="195"/>
      <c r="L23" s="183"/>
      <c r="M23" s="197"/>
      <c r="N23" s="196"/>
      <c r="O23" s="196"/>
      <c r="P23" s="195"/>
    </row>
    <row r="24" spans="2:16" hidden="1" outlineLevel="1" x14ac:dyDescent="0.3">
      <c r="B24" s="190"/>
      <c r="C24" s="190"/>
      <c r="D24" s="190"/>
      <c r="E24" s="190"/>
      <c r="F24" s="190" t="s">
        <v>234</v>
      </c>
      <c r="G24" s="197">
        <v>0</v>
      </c>
      <c r="H24" s="196">
        <v>0</v>
      </c>
      <c r="I24" s="196">
        <v>0</v>
      </c>
      <c r="J24" s="196"/>
      <c r="K24" s="195">
        <v>0</v>
      </c>
      <c r="L24" s="183"/>
      <c r="M24" s="197">
        <v>0</v>
      </c>
      <c r="N24" s="196">
        <v>0</v>
      </c>
      <c r="O24" s="196">
        <v>0</v>
      </c>
      <c r="P24" s="195">
        <v>0</v>
      </c>
    </row>
    <row r="25" spans="2:16" hidden="1" outlineLevel="1" x14ac:dyDescent="0.3">
      <c r="B25" s="190"/>
      <c r="C25" s="190"/>
      <c r="D25" s="190"/>
      <c r="E25" s="190"/>
      <c r="F25" s="190" t="s">
        <v>233</v>
      </c>
      <c r="G25" s="197">
        <v>0</v>
      </c>
      <c r="H25" s="196">
        <v>0</v>
      </c>
      <c r="I25" s="196">
        <v>0</v>
      </c>
      <c r="J25" s="196"/>
      <c r="K25" s="195">
        <v>0</v>
      </c>
      <c r="L25" s="183"/>
      <c r="M25" s="197">
        <v>0</v>
      </c>
      <c r="N25" s="196">
        <v>0</v>
      </c>
      <c r="O25" s="196">
        <v>0</v>
      </c>
      <c r="P25" s="195">
        <v>0</v>
      </c>
    </row>
    <row r="26" spans="2:16" hidden="1" outlineLevel="1" x14ac:dyDescent="0.3">
      <c r="B26" s="190"/>
      <c r="C26" s="190"/>
      <c r="D26" s="190"/>
      <c r="E26" s="190"/>
      <c r="F26" s="190" t="s">
        <v>181</v>
      </c>
      <c r="G26" s="197">
        <v>0</v>
      </c>
      <c r="H26" s="196">
        <v>0</v>
      </c>
      <c r="I26" s="196">
        <v>0</v>
      </c>
      <c r="J26" s="196"/>
      <c r="K26" s="195">
        <v>0</v>
      </c>
      <c r="L26" s="183"/>
      <c r="M26" s="197">
        <v>0</v>
      </c>
      <c r="N26" s="196">
        <v>0</v>
      </c>
      <c r="O26" s="196">
        <v>3675.45</v>
      </c>
      <c r="P26" s="195">
        <v>1000</v>
      </c>
    </row>
    <row r="27" spans="2:16" hidden="1" outlineLevel="1" x14ac:dyDescent="0.3">
      <c r="B27" s="190"/>
      <c r="C27" s="190"/>
      <c r="D27" s="190"/>
      <c r="E27" s="190"/>
      <c r="F27" s="190" t="s">
        <v>232</v>
      </c>
      <c r="G27" s="197">
        <v>0</v>
      </c>
      <c r="H27" s="196">
        <v>0</v>
      </c>
      <c r="I27" s="196">
        <v>0</v>
      </c>
      <c r="J27" s="196"/>
      <c r="K27" s="195">
        <v>0</v>
      </c>
      <c r="L27" s="183"/>
      <c r="M27" s="197">
        <v>0</v>
      </c>
      <c r="N27" s="196">
        <v>0</v>
      </c>
      <c r="O27" s="196">
        <v>0</v>
      </c>
      <c r="P27" s="195">
        <v>2000</v>
      </c>
    </row>
    <row r="28" spans="2:16" s="184" customFormat="1" collapsed="1" x14ac:dyDescent="0.3">
      <c r="B28" s="194"/>
      <c r="C28" s="194"/>
      <c r="D28" s="194"/>
      <c r="E28" s="194" t="s">
        <v>182</v>
      </c>
      <c r="F28" s="194"/>
      <c r="G28" s="200">
        <f>ROUND(SUM(G23:G27),5)</f>
        <v>0</v>
      </c>
      <c r="H28" s="199">
        <f>ROUND(SUM(H23:H27),5)</f>
        <v>0</v>
      </c>
      <c r="I28" s="199">
        <f>ROUND(SUM(I23:I27),5)</f>
        <v>0</v>
      </c>
      <c r="J28" s="199"/>
      <c r="K28" s="198">
        <f>ROUND(SUM(K23:K27),5)</f>
        <v>0</v>
      </c>
      <c r="L28" s="201"/>
      <c r="M28" s="200">
        <f>ROUND(SUM(M23:M27),5)</f>
        <v>0</v>
      </c>
      <c r="N28" s="199">
        <f>ROUND(SUM(N23:N27),5)</f>
        <v>0</v>
      </c>
      <c r="O28" s="199">
        <f>ROUND(SUM(O23:O27),5)</f>
        <v>3675.45</v>
      </c>
      <c r="P28" s="198">
        <f>ROUND(SUM(P24:P27),5)</f>
        <v>3000</v>
      </c>
    </row>
    <row r="29" spans="2:16" hidden="1" outlineLevel="1" x14ac:dyDescent="0.3">
      <c r="B29" s="190"/>
      <c r="C29" s="190"/>
      <c r="D29" s="190"/>
      <c r="E29" s="190" t="s">
        <v>81</v>
      </c>
      <c r="F29" s="190"/>
      <c r="G29" s="197"/>
      <c r="H29" s="196"/>
      <c r="I29" s="196"/>
      <c r="J29" s="196"/>
      <c r="K29" s="195"/>
      <c r="L29" s="183"/>
      <c r="M29" s="197"/>
      <c r="N29" s="196"/>
      <c r="O29" s="196"/>
      <c r="P29" s="195"/>
    </row>
    <row r="30" spans="2:16" hidden="1" outlineLevel="1" x14ac:dyDescent="0.3">
      <c r="B30" s="190"/>
      <c r="C30" s="190"/>
      <c r="D30" s="190"/>
      <c r="E30" s="190"/>
      <c r="F30" s="190" t="s">
        <v>231</v>
      </c>
      <c r="G30" s="197">
        <v>0</v>
      </c>
      <c r="H30" s="196">
        <v>0</v>
      </c>
      <c r="I30" s="196">
        <v>0</v>
      </c>
      <c r="J30" s="196"/>
      <c r="K30" s="195">
        <v>32000</v>
      </c>
      <c r="L30" s="183"/>
      <c r="M30" s="197">
        <v>0</v>
      </c>
      <c r="N30" s="196">
        <v>0</v>
      </c>
      <c r="O30" s="196">
        <v>0</v>
      </c>
      <c r="P30" s="195">
        <v>0</v>
      </c>
    </row>
    <row r="31" spans="2:16" hidden="1" outlineLevel="1" x14ac:dyDescent="0.3">
      <c r="B31" s="190"/>
      <c r="C31" s="190"/>
      <c r="D31" s="190"/>
      <c r="E31" s="190"/>
      <c r="F31" s="190" t="s">
        <v>230</v>
      </c>
      <c r="G31" s="197">
        <v>0</v>
      </c>
      <c r="H31" s="196">
        <v>0</v>
      </c>
      <c r="I31" s="196">
        <v>0</v>
      </c>
      <c r="J31" s="196"/>
      <c r="K31" s="195">
        <v>0</v>
      </c>
      <c r="L31" s="183"/>
      <c r="M31" s="197">
        <v>0</v>
      </c>
      <c r="N31" s="196">
        <v>0</v>
      </c>
      <c r="O31" s="196">
        <v>0</v>
      </c>
      <c r="P31" s="195">
        <v>0</v>
      </c>
    </row>
    <row r="32" spans="2:16" hidden="1" outlineLevel="1" x14ac:dyDescent="0.3">
      <c r="B32" s="190"/>
      <c r="C32" s="190"/>
      <c r="D32" s="190"/>
      <c r="E32" s="190"/>
      <c r="F32" s="190" t="s">
        <v>229</v>
      </c>
      <c r="G32" s="197">
        <v>0</v>
      </c>
      <c r="H32" s="196">
        <v>0</v>
      </c>
      <c r="I32" s="196">
        <v>0</v>
      </c>
      <c r="J32" s="196"/>
      <c r="K32" s="195">
        <v>0</v>
      </c>
      <c r="L32" s="183"/>
      <c r="M32" s="197">
        <v>9049.8799999999992</v>
      </c>
      <c r="N32" s="196">
        <v>0</v>
      </c>
      <c r="O32" s="196">
        <v>0</v>
      </c>
      <c r="P32" s="195">
        <v>0</v>
      </c>
    </row>
    <row r="33" spans="2:16" hidden="1" outlineLevel="1" x14ac:dyDescent="0.3">
      <c r="B33" s="190"/>
      <c r="C33" s="190"/>
      <c r="D33" s="190"/>
      <c r="E33" s="190"/>
      <c r="F33" s="190" t="s">
        <v>228</v>
      </c>
      <c r="G33" s="197">
        <v>33307.620000000003</v>
      </c>
      <c r="H33" s="196">
        <v>0</v>
      </c>
      <c r="I33" s="196">
        <v>0</v>
      </c>
      <c r="J33" s="196"/>
      <c r="K33" s="195">
        <v>0</v>
      </c>
      <c r="L33" s="183"/>
      <c r="M33" s="197">
        <v>19898.21</v>
      </c>
      <c r="N33" s="196">
        <v>0</v>
      </c>
      <c r="O33" s="196">
        <v>0</v>
      </c>
      <c r="P33" s="195">
        <v>0</v>
      </c>
    </row>
    <row r="34" spans="2:16" s="184" customFormat="1" collapsed="1" x14ac:dyDescent="0.3">
      <c r="B34" s="194"/>
      <c r="C34" s="194"/>
      <c r="D34" s="194"/>
      <c r="E34" s="194" t="s">
        <v>227</v>
      </c>
      <c r="F34" s="194"/>
      <c r="G34" s="200">
        <f>ROUND(SUM(G29:G33),5)</f>
        <v>33307.620000000003</v>
      </c>
      <c r="H34" s="199">
        <f>ROUND(SUM(H29:H33),5)</f>
        <v>0</v>
      </c>
      <c r="I34" s="199">
        <f>ROUND(SUM(I29:I33),5)</f>
        <v>0</v>
      </c>
      <c r="J34" s="199">
        <v>33690</v>
      </c>
      <c r="K34" s="198">
        <f>ROUND(SUM(K29:K33),5)</f>
        <v>32000</v>
      </c>
      <c r="L34" s="201"/>
      <c r="M34" s="200">
        <f>ROUND(SUM(M29:M33),5)</f>
        <v>28948.09</v>
      </c>
      <c r="N34" s="199">
        <f>ROUND(SUM(N29:N33),5)</f>
        <v>0</v>
      </c>
      <c r="O34" s="199"/>
      <c r="P34" s="198"/>
    </row>
    <row r="35" spans="2:16" hidden="1" outlineLevel="1" x14ac:dyDescent="0.3">
      <c r="B35" s="190"/>
      <c r="C35" s="190"/>
      <c r="D35" s="190"/>
      <c r="E35" s="190" t="s">
        <v>100</v>
      </c>
      <c r="F35" s="190"/>
      <c r="G35" s="197"/>
      <c r="H35" s="196"/>
      <c r="I35" s="196"/>
      <c r="J35" s="196"/>
      <c r="K35" s="195"/>
      <c r="L35" s="183"/>
      <c r="M35" s="197"/>
      <c r="N35" s="196"/>
      <c r="O35" s="196"/>
      <c r="P35" s="195"/>
    </row>
    <row r="36" spans="2:16" hidden="1" outlineLevel="1" x14ac:dyDescent="0.3">
      <c r="B36" s="190"/>
      <c r="C36" s="190"/>
      <c r="D36" s="190"/>
      <c r="E36" s="190"/>
      <c r="F36" s="190" t="s">
        <v>226</v>
      </c>
      <c r="G36" s="197">
        <v>407.17</v>
      </c>
      <c r="H36" s="196">
        <v>0</v>
      </c>
      <c r="I36" s="196">
        <v>0</v>
      </c>
      <c r="J36" s="196"/>
      <c r="K36" s="195">
        <v>0</v>
      </c>
      <c r="L36" s="183"/>
      <c r="M36" s="197">
        <v>0</v>
      </c>
      <c r="N36" s="196">
        <v>0</v>
      </c>
      <c r="O36" s="196">
        <v>0</v>
      </c>
      <c r="P36" s="195">
        <v>0</v>
      </c>
    </row>
    <row r="37" spans="2:16" hidden="1" outlineLevel="1" x14ac:dyDescent="0.3">
      <c r="B37" s="190"/>
      <c r="C37" s="190"/>
      <c r="D37" s="190"/>
      <c r="E37" s="190"/>
      <c r="F37" s="190" t="s">
        <v>225</v>
      </c>
      <c r="G37" s="197">
        <v>2170.79</v>
      </c>
      <c r="H37" s="196">
        <v>0</v>
      </c>
      <c r="I37" s="196">
        <v>0</v>
      </c>
      <c r="J37" s="196"/>
      <c r="K37" s="195">
        <v>0</v>
      </c>
      <c r="L37" s="183"/>
      <c r="M37" s="197">
        <v>0</v>
      </c>
      <c r="N37" s="196">
        <v>0</v>
      </c>
      <c r="O37" s="196">
        <v>0</v>
      </c>
      <c r="P37" s="195">
        <v>0</v>
      </c>
    </row>
    <row r="38" spans="2:16" s="184" customFormat="1" collapsed="1" x14ac:dyDescent="0.3">
      <c r="B38" s="194"/>
      <c r="C38" s="194"/>
      <c r="D38" s="194"/>
      <c r="E38" s="194" t="s">
        <v>224</v>
      </c>
      <c r="F38" s="194"/>
      <c r="G38" s="200">
        <f>ROUND(SUM(G35:G37),5)</f>
        <v>2577.96</v>
      </c>
      <c r="H38" s="199">
        <f>ROUND(SUM(H35:H37),5)</f>
        <v>0</v>
      </c>
      <c r="I38" s="199">
        <f>ROUND(SUM(I35:I37),5)</f>
        <v>0</v>
      </c>
      <c r="J38" s="199"/>
      <c r="K38" s="198">
        <f>ROUND(SUM(K35:K37),5)</f>
        <v>0</v>
      </c>
      <c r="L38" s="201"/>
      <c r="M38" s="200">
        <f>ROUND(SUM(M35:M37),5)</f>
        <v>0</v>
      </c>
      <c r="N38" s="199">
        <f>ROUND(SUM(N35:N37),5)</f>
        <v>0</v>
      </c>
      <c r="O38" s="199">
        <f>ROUND(SUM(O35:O37),5)</f>
        <v>0</v>
      </c>
      <c r="P38" s="198">
        <f>ROUND(SUM(P35:P37),5)</f>
        <v>0</v>
      </c>
    </row>
    <row r="39" spans="2:16" hidden="1" outlineLevel="1" x14ac:dyDescent="0.3">
      <c r="B39" s="190"/>
      <c r="C39" s="190"/>
      <c r="D39" s="190"/>
      <c r="E39" s="190" t="s">
        <v>219</v>
      </c>
      <c r="F39" s="190"/>
      <c r="G39" s="197"/>
      <c r="H39" s="196"/>
      <c r="I39" s="196"/>
      <c r="J39" s="196"/>
      <c r="K39" s="195"/>
      <c r="L39" s="183"/>
      <c r="M39" s="197"/>
      <c r="N39" s="196"/>
      <c r="O39" s="196"/>
      <c r="P39" s="195"/>
    </row>
    <row r="40" spans="2:16" hidden="1" outlineLevel="1" x14ac:dyDescent="0.3">
      <c r="B40" s="190"/>
      <c r="C40" s="190"/>
      <c r="D40" s="190"/>
      <c r="E40" s="190"/>
      <c r="F40" s="190" t="s">
        <v>213</v>
      </c>
      <c r="G40" s="197">
        <v>0</v>
      </c>
      <c r="H40" s="196">
        <v>0</v>
      </c>
      <c r="I40" s="196">
        <v>0</v>
      </c>
      <c r="J40" s="196"/>
      <c r="K40" s="195">
        <v>0</v>
      </c>
      <c r="L40" s="183"/>
      <c r="M40" s="197">
        <v>0</v>
      </c>
      <c r="N40" s="196">
        <v>0</v>
      </c>
      <c r="O40" s="196">
        <v>0</v>
      </c>
      <c r="P40" s="195">
        <v>0</v>
      </c>
    </row>
    <row r="41" spans="2:16" hidden="1" outlineLevel="1" x14ac:dyDescent="0.3">
      <c r="B41" s="190"/>
      <c r="C41" s="190"/>
      <c r="D41" s="190"/>
      <c r="E41" s="190"/>
      <c r="F41" s="190" t="s">
        <v>212</v>
      </c>
      <c r="G41" s="197">
        <v>0</v>
      </c>
      <c r="H41" s="196">
        <v>0</v>
      </c>
      <c r="I41" s="196">
        <v>0</v>
      </c>
      <c r="J41" s="196"/>
      <c r="K41" s="195">
        <v>0</v>
      </c>
      <c r="L41" s="183"/>
      <c r="M41" s="197">
        <v>0</v>
      </c>
      <c r="N41" s="196">
        <v>0</v>
      </c>
      <c r="O41" s="196">
        <v>0</v>
      </c>
      <c r="P41" s="195">
        <v>0</v>
      </c>
    </row>
    <row r="42" spans="2:16" hidden="1" outlineLevel="1" x14ac:dyDescent="0.3">
      <c r="B42" s="190"/>
      <c r="C42" s="190"/>
      <c r="D42" s="190"/>
      <c r="E42" s="190"/>
      <c r="F42" s="190" t="s">
        <v>211</v>
      </c>
      <c r="G42" s="197">
        <v>0</v>
      </c>
      <c r="H42" s="196">
        <v>0</v>
      </c>
      <c r="I42" s="196">
        <v>0</v>
      </c>
      <c r="J42" s="196"/>
      <c r="K42" s="195">
        <v>0</v>
      </c>
      <c r="L42" s="183"/>
      <c r="M42" s="197">
        <v>0</v>
      </c>
      <c r="N42" s="196">
        <v>0</v>
      </c>
      <c r="O42" s="196">
        <v>0</v>
      </c>
      <c r="P42" s="195">
        <v>0</v>
      </c>
    </row>
    <row r="43" spans="2:16" hidden="1" outlineLevel="1" x14ac:dyDescent="0.3">
      <c r="B43" s="190"/>
      <c r="C43" s="190"/>
      <c r="D43" s="190"/>
      <c r="E43" s="190"/>
      <c r="F43" s="190" t="s">
        <v>210</v>
      </c>
      <c r="G43" s="197">
        <v>0</v>
      </c>
      <c r="H43" s="196">
        <v>0</v>
      </c>
      <c r="I43" s="196">
        <v>0</v>
      </c>
      <c r="J43" s="196"/>
      <c r="K43" s="195">
        <f>54000+5000</f>
        <v>59000</v>
      </c>
      <c r="L43" s="183"/>
      <c r="M43" s="197">
        <v>0</v>
      </c>
      <c r="N43" s="196">
        <v>0</v>
      </c>
      <c r="O43" s="196">
        <v>0</v>
      </c>
      <c r="P43" s="195">
        <v>0</v>
      </c>
    </row>
    <row r="44" spans="2:16" s="184" customFormat="1" collapsed="1" x14ac:dyDescent="0.3">
      <c r="B44" s="194"/>
      <c r="C44" s="194"/>
      <c r="D44" s="194"/>
      <c r="E44" s="194" t="s">
        <v>218</v>
      </c>
      <c r="F44" s="194"/>
      <c r="G44" s="200">
        <f>ROUND(SUM(G39:G43),5)</f>
        <v>0</v>
      </c>
      <c r="H44" s="199">
        <f>ROUND(SUM(H39:H43),5)</f>
        <v>0</v>
      </c>
      <c r="I44" s="199">
        <f>ROUND(SUM(I39:I43),5)</f>
        <v>0</v>
      </c>
      <c r="J44" s="199"/>
      <c r="K44" s="198">
        <f>ROUND(SUM(K39:K43),5)</f>
        <v>59000</v>
      </c>
      <c r="L44" s="201"/>
      <c r="M44" s="200">
        <f>ROUND(SUM(M39:M43),5)</f>
        <v>0</v>
      </c>
      <c r="N44" s="199">
        <f>ROUND(SUM(N39:N43),5)</f>
        <v>0</v>
      </c>
      <c r="O44" s="199">
        <f>ROUND(SUM(O39:O43),5)</f>
        <v>0</v>
      </c>
      <c r="P44" s="198">
        <v>0</v>
      </c>
    </row>
    <row r="45" spans="2:16" hidden="1" outlineLevel="1" x14ac:dyDescent="0.3">
      <c r="B45" s="190"/>
      <c r="C45" s="190"/>
      <c r="D45" s="190"/>
      <c r="E45" s="190" t="s">
        <v>223</v>
      </c>
      <c r="F45" s="190"/>
      <c r="G45" s="197"/>
      <c r="H45" s="196"/>
      <c r="I45" s="196"/>
      <c r="J45" s="196"/>
      <c r="K45" s="195"/>
      <c r="L45" s="183"/>
      <c r="M45" s="197"/>
      <c r="N45" s="196"/>
      <c r="O45" s="196"/>
      <c r="P45" s="195"/>
    </row>
    <row r="46" spans="2:16" hidden="1" outlineLevel="1" x14ac:dyDescent="0.3">
      <c r="B46" s="190"/>
      <c r="C46" s="190"/>
      <c r="D46" s="190"/>
      <c r="E46" s="190"/>
      <c r="F46" s="190" t="s">
        <v>222</v>
      </c>
      <c r="G46" s="197">
        <v>0</v>
      </c>
      <c r="H46" s="196">
        <v>0</v>
      </c>
      <c r="I46" s="196">
        <v>0</v>
      </c>
      <c r="J46" s="196"/>
      <c r="K46" s="195">
        <v>30000</v>
      </c>
      <c r="L46" s="183"/>
      <c r="M46" s="197">
        <v>0</v>
      </c>
      <c r="N46" s="196">
        <v>0</v>
      </c>
      <c r="O46" s="196">
        <v>0</v>
      </c>
      <c r="P46" s="195">
        <v>0</v>
      </c>
    </row>
    <row r="47" spans="2:16" hidden="1" outlineLevel="1" x14ac:dyDescent="0.3">
      <c r="B47" s="190"/>
      <c r="C47" s="190"/>
      <c r="D47" s="190"/>
      <c r="E47" s="190"/>
      <c r="F47" s="190" t="s">
        <v>221</v>
      </c>
      <c r="G47" s="197">
        <v>0</v>
      </c>
      <c r="H47" s="196">
        <v>0</v>
      </c>
      <c r="I47" s="196">
        <v>0</v>
      </c>
      <c r="J47" s="196"/>
      <c r="K47" s="195">
        <v>0</v>
      </c>
      <c r="L47" s="183"/>
      <c r="M47" s="197">
        <v>0</v>
      </c>
      <c r="N47" s="196">
        <v>0</v>
      </c>
      <c r="O47" s="196">
        <v>0</v>
      </c>
      <c r="P47" s="195">
        <v>0</v>
      </c>
    </row>
    <row r="48" spans="2:16" hidden="1" outlineLevel="1" x14ac:dyDescent="0.3">
      <c r="B48" s="190"/>
      <c r="C48" s="190"/>
      <c r="D48" s="190"/>
      <c r="E48" s="190"/>
      <c r="F48" s="190" t="s">
        <v>213</v>
      </c>
      <c r="G48" s="197">
        <v>0</v>
      </c>
      <c r="H48" s="196">
        <v>0</v>
      </c>
      <c r="I48" s="196">
        <v>0</v>
      </c>
      <c r="J48" s="196"/>
      <c r="K48" s="195">
        <v>0</v>
      </c>
      <c r="L48" s="183"/>
      <c r="M48" s="197">
        <v>0</v>
      </c>
      <c r="N48" s="196">
        <v>0</v>
      </c>
      <c r="O48" s="196">
        <v>0</v>
      </c>
      <c r="P48" s="195">
        <v>0</v>
      </c>
    </row>
    <row r="49" spans="2:16" hidden="1" outlineLevel="1" x14ac:dyDescent="0.3">
      <c r="B49" s="190"/>
      <c r="C49" s="190"/>
      <c r="D49" s="190"/>
      <c r="E49" s="190"/>
      <c r="F49" s="190" t="s">
        <v>212</v>
      </c>
      <c r="G49" s="197">
        <v>0</v>
      </c>
      <c r="H49" s="196">
        <v>0</v>
      </c>
      <c r="I49" s="196">
        <v>0</v>
      </c>
      <c r="J49" s="196"/>
      <c r="K49" s="195">
        <v>0</v>
      </c>
      <c r="L49" s="183"/>
      <c r="M49" s="197">
        <v>0</v>
      </c>
      <c r="N49" s="196">
        <v>0</v>
      </c>
      <c r="O49" s="196">
        <v>0</v>
      </c>
      <c r="P49" s="195">
        <v>0</v>
      </c>
    </row>
    <row r="50" spans="2:16" s="184" customFormat="1" collapsed="1" x14ac:dyDescent="0.3">
      <c r="B50" s="194"/>
      <c r="C50" s="194"/>
      <c r="D50" s="194"/>
      <c r="E50" s="194" t="s">
        <v>220</v>
      </c>
      <c r="F50" s="194"/>
      <c r="G50" s="199">
        <f>ROUND(SUM(G45:G49),5)</f>
        <v>0</v>
      </c>
      <c r="H50" s="199">
        <f>ROUND(SUM(H45:H49),5)</f>
        <v>0</v>
      </c>
      <c r="I50" s="199">
        <f>ROUND(SUM(I45:I49),5)</f>
        <v>0</v>
      </c>
      <c r="J50" s="199"/>
      <c r="K50" s="198">
        <f>ROUND(SUM(K45:K49),5)</f>
        <v>30000</v>
      </c>
      <c r="L50" s="201"/>
      <c r="M50" s="200">
        <f>ROUND(SUM(M45:M49),5)</f>
        <v>0</v>
      </c>
      <c r="N50" s="199">
        <f>ROUND(SUM(N45:N49),5)</f>
        <v>0</v>
      </c>
      <c r="O50" s="199">
        <f>ROUND(SUM(O45:O49),5)</f>
        <v>0</v>
      </c>
      <c r="P50" s="198"/>
    </row>
    <row r="51" spans="2:16" hidden="1" outlineLevel="1" x14ac:dyDescent="0.3">
      <c r="B51" s="190"/>
      <c r="C51" s="190"/>
      <c r="D51" s="190"/>
      <c r="E51" s="190" t="s">
        <v>217</v>
      </c>
      <c r="F51" s="190" t="s">
        <v>216</v>
      </c>
      <c r="G51" s="197"/>
      <c r="H51" s="196"/>
      <c r="I51" s="196"/>
      <c r="J51" s="196"/>
      <c r="K51" s="195"/>
      <c r="L51" s="183"/>
      <c r="M51" s="197"/>
      <c r="N51" s="196"/>
      <c r="O51" s="196"/>
      <c r="P51" s="195"/>
    </row>
    <row r="52" spans="2:16" hidden="1" outlineLevel="1" x14ac:dyDescent="0.3">
      <c r="B52" s="190"/>
      <c r="C52" s="190"/>
      <c r="D52" s="190"/>
      <c r="E52" s="190"/>
      <c r="F52" s="190" t="s">
        <v>213</v>
      </c>
      <c r="G52" s="197">
        <v>0</v>
      </c>
      <c r="H52" s="196">
        <v>0</v>
      </c>
      <c r="I52" s="196">
        <v>0</v>
      </c>
      <c r="J52" s="196"/>
      <c r="K52" s="195">
        <v>0</v>
      </c>
      <c r="L52" s="183"/>
      <c r="M52" s="197">
        <v>0</v>
      </c>
      <c r="N52" s="196">
        <v>0</v>
      </c>
      <c r="O52" s="196">
        <v>0</v>
      </c>
      <c r="P52" s="195">
        <v>0</v>
      </c>
    </row>
    <row r="53" spans="2:16" hidden="1" outlineLevel="1" x14ac:dyDescent="0.3">
      <c r="B53" s="190"/>
      <c r="C53" s="190"/>
      <c r="D53" s="190"/>
      <c r="E53" s="190"/>
      <c r="F53" s="190" t="s">
        <v>212</v>
      </c>
      <c r="G53" s="197">
        <v>0</v>
      </c>
      <c r="H53" s="196">
        <v>0</v>
      </c>
      <c r="I53" s="196">
        <v>0</v>
      </c>
      <c r="J53" s="196"/>
      <c r="K53" s="195">
        <v>6000</v>
      </c>
      <c r="L53" s="183"/>
      <c r="M53" s="197">
        <v>0</v>
      </c>
      <c r="N53" s="196">
        <v>0</v>
      </c>
      <c r="O53" s="196">
        <v>0</v>
      </c>
      <c r="P53" s="195">
        <v>0</v>
      </c>
    </row>
    <row r="54" spans="2:16" hidden="1" outlineLevel="1" x14ac:dyDescent="0.3">
      <c r="B54" s="190"/>
      <c r="C54" s="190"/>
      <c r="D54" s="190"/>
      <c r="E54" s="190"/>
      <c r="F54" s="190" t="s">
        <v>211</v>
      </c>
      <c r="G54" s="197">
        <v>0</v>
      </c>
      <c r="H54" s="196">
        <v>0</v>
      </c>
      <c r="I54" s="196">
        <v>0</v>
      </c>
      <c r="J54" s="196"/>
      <c r="K54" s="195">
        <v>1000</v>
      </c>
      <c r="L54" s="183"/>
      <c r="M54" s="197">
        <v>0</v>
      </c>
      <c r="N54" s="196">
        <v>0</v>
      </c>
      <c r="O54" s="196">
        <v>0</v>
      </c>
      <c r="P54" s="195">
        <v>0</v>
      </c>
    </row>
    <row r="55" spans="2:16" hidden="1" outlineLevel="1" x14ac:dyDescent="0.3">
      <c r="B55" s="190"/>
      <c r="C55" s="190"/>
      <c r="D55" s="190"/>
      <c r="E55" s="190"/>
      <c r="F55" s="190" t="s">
        <v>210</v>
      </c>
      <c r="G55" s="197">
        <v>0</v>
      </c>
      <c r="H55" s="196">
        <v>0</v>
      </c>
      <c r="I55" s="196">
        <v>0</v>
      </c>
      <c r="J55" s="196"/>
      <c r="K55" s="195">
        <v>0</v>
      </c>
      <c r="L55" s="183"/>
      <c r="M55" s="197">
        <v>0</v>
      </c>
      <c r="N55" s="196">
        <v>0</v>
      </c>
      <c r="O55" s="196">
        <v>0</v>
      </c>
      <c r="P55" s="195">
        <v>0</v>
      </c>
    </row>
    <row r="56" spans="2:16" s="184" customFormat="1" collapsed="1" x14ac:dyDescent="0.3">
      <c r="B56" s="194"/>
      <c r="C56" s="194"/>
      <c r="D56" s="194"/>
      <c r="E56" s="194" t="s">
        <v>215</v>
      </c>
      <c r="F56" s="194" t="s">
        <v>214</v>
      </c>
      <c r="G56" s="200">
        <f>ROUND(SUM(G51:G55),5)</f>
        <v>0</v>
      </c>
      <c r="H56" s="199">
        <f>ROUND(SUM(H51:H55),5)</f>
        <v>0</v>
      </c>
      <c r="I56" s="199">
        <f>ROUND(SUM(I51:I55),5)</f>
        <v>0</v>
      </c>
      <c r="J56" s="199"/>
      <c r="K56" s="198">
        <f>ROUND(SUM(K51:K55),5)</f>
        <v>7000</v>
      </c>
      <c r="L56" s="201"/>
      <c r="M56" s="200">
        <f>ROUND(SUM(M51:M55),5)</f>
        <v>0</v>
      </c>
      <c r="N56" s="199">
        <f>ROUND(SUM(N51:N55),5)</f>
        <v>0</v>
      </c>
      <c r="O56" s="199">
        <f>ROUND(SUM(O51:O55),5)</f>
        <v>0</v>
      </c>
      <c r="P56" s="198"/>
    </row>
    <row r="57" spans="2:16" hidden="1" outlineLevel="1" x14ac:dyDescent="0.3">
      <c r="B57" s="190"/>
      <c r="C57" s="190"/>
      <c r="D57" s="190"/>
      <c r="E57" s="190" t="s">
        <v>94</v>
      </c>
      <c r="F57" s="190"/>
      <c r="G57" s="197"/>
      <c r="H57" s="196"/>
      <c r="I57" s="196"/>
      <c r="J57" s="196"/>
      <c r="K57" s="195"/>
      <c r="L57" s="183"/>
      <c r="M57" s="197"/>
      <c r="N57" s="196"/>
      <c r="O57" s="196"/>
      <c r="P57" s="195"/>
    </row>
    <row r="58" spans="2:16" hidden="1" outlineLevel="1" x14ac:dyDescent="0.3">
      <c r="B58" s="190"/>
      <c r="C58" s="190"/>
      <c r="D58" s="190"/>
      <c r="E58" s="190"/>
      <c r="F58" s="190" t="s">
        <v>244</v>
      </c>
      <c r="G58" s="197">
        <v>0</v>
      </c>
      <c r="H58" s="196">
        <v>0</v>
      </c>
      <c r="I58" s="196">
        <v>0</v>
      </c>
      <c r="J58" s="196"/>
      <c r="K58" s="195">
        <v>0</v>
      </c>
      <c r="L58" s="183"/>
      <c r="M58" s="197">
        <v>275</v>
      </c>
      <c r="N58" s="196">
        <v>0</v>
      </c>
      <c r="O58" s="196">
        <v>0</v>
      </c>
      <c r="P58" s="195">
        <v>0</v>
      </c>
    </row>
    <row r="59" spans="2:16" hidden="1" outlineLevel="1" x14ac:dyDescent="0.3">
      <c r="B59" s="190"/>
      <c r="C59" s="190"/>
      <c r="D59" s="190"/>
      <c r="E59" s="190"/>
      <c r="F59" s="190" t="s">
        <v>243</v>
      </c>
      <c r="G59" s="197">
        <v>0</v>
      </c>
      <c r="H59" s="196">
        <v>0</v>
      </c>
      <c r="I59" s="196">
        <v>0</v>
      </c>
      <c r="J59" s="196"/>
      <c r="K59" s="195">
        <v>0</v>
      </c>
      <c r="L59" s="183"/>
      <c r="M59" s="197">
        <v>7181.18</v>
      </c>
      <c r="N59" s="196">
        <v>3190.13</v>
      </c>
      <c r="O59" s="196">
        <v>0</v>
      </c>
      <c r="P59" s="195">
        <v>0</v>
      </c>
    </row>
    <row r="60" spans="2:16" hidden="1" outlineLevel="1" x14ac:dyDescent="0.3">
      <c r="B60" s="190"/>
      <c r="C60" s="190"/>
      <c r="D60" s="190"/>
      <c r="E60" s="190"/>
      <c r="F60" s="190" t="s">
        <v>242</v>
      </c>
      <c r="G60" s="197">
        <v>0</v>
      </c>
      <c r="H60" s="196">
        <v>0</v>
      </c>
      <c r="I60" s="196">
        <v>0</v>
      </c>
      <c r="J60" s="196"/>
      <c r="K60" s="195">
        <v>0</v>
      </c>
      <c r="L60" s="183"/>
      <c r="M60" s="197">
        <v>44827.12</v>
      </c>
      <c r="N60" s="196">
        <v>779.75</v>
      </c>
      <c r="O60" s="196">
        <v>0</v>
      </c>
      <c r="P60" s="195">
        <v>0</v>
      </c>
    </row>
    <row r="61" spans="2:16" s="184" customFormat="1" collapsed="1" x14ac:dyDescent="0.3">
      <c r="B61" s="194"/>
      <c r="C61" s="194"/>
      <c r="D61" s="194"/>
      <c r="E61" s="194" t="s">
        <v>241</v>
      </c>
      <c r="F61" s="194"/>
      <c r="G61" s="200">
        <f>ROUND(SUM(G57:G60),5)</f>
        <v>0</v>
      </c>
      <c r="H61" s="199">
        <f>ROUND(SUM(H57:H60),5)</f>
        <v>0</v>
      </c>
      <c r="I61" s="199">
        <f>ROUND(SUM(I57:I60),5)</f>
        <v>0</v>
      </c>
      <c r="J61" s="199"/>
      <c r="K61" s="198">
        <f>ROUND(SUM(K57:K60),5)</f>
        <v>0</v>
      </c>
      <c r="L61" s="201"/>
      <c r="M61" s="200">
        <f>ROUND(SUM(M57:M60),5)</f>
        <v>52283.3</v>
      </c>
      <c r="N61" s="199">
        <f>ROUND(SUM(N57:N60),5)</f>
        <v>3969.88</v>
      </c>
      <c r="O61" s="199">
        <f>ROUND(SUM(O57:O60),5)</f>
        <v>0</v>
      </c>
      <c r="P61" s="198">
        <f>ROUND(SUM(P57:P60),5)</f>
        <v>0</v>
      </c>
    </row>
    <row r="62" spans="2:16" hidden="1" outlineLevel="1" x14ac:dyDescent="0.3">
      <c r="B62" s="190"/>
      <c r="C62" s="190"/>
      <c r="D62" s="190"/>
      <c r="E62" s="190" t="s">
        <v>99</v>
      </c>
      <c r="F62" s="190"/>
      <c r="G62" s="197"/>
      <c r="H62" s="196"/>
      <c r="I62" s="196"/>
      <c r="J62" s="196"/>
      <c r="K62" s="195"/>
      <c r="L62" s="183"/>
      <c r="M62" s="197"/>
      <c r="N62" s="196"/>
      <c r="O62" s="196"/>
      <c r="P62" s="195"/>
    </row>
    <row r="63" spans="2:16" hidden="1" outlineLevel="1" x14ac:dyDescent="0.3">
      <c r="B63" s="190"/>
      <c r="C63" s="190"/>
      <c r="D63" s="190"/>
      <c r="E63" s="190"/>
      <c r="F63" s="190" t="s">
        <v>240</v>
      </c>
      <c r="G63" s="197">
        <v>0</v>
      </c>
      <c r="H63" s="196">
        <v>0</v>
      </c>
      <c r="I63" s="196">
        <v>0</v>
      </c>
      <c r="J63" s="196"/>
      <c r="K63" s="195">
        <v>0</v>
      </c>
      <c r="L63" s="183"/>
      <c r="M63" s="197">
        <v>0</v>
      </c>
      <c r="N63" s="196">
        <v>0</v>
      </c>
      <c r="O63" s="196">
        <v>0</v>
      </c>
      <c r="P63" s="195">
        <v>0</v>
      </c>
    </row>
    <row r="64" spans="2:16" hidden="1" outlineLevel="1" x14ac:dyDescent="0.3">
      <c r="B64" s="190"/>
      <c r="C64" s="190"/>
      <c r="D64" s="190"/>
      <c r="E64" s="190"/>
      <c r="F64" s="190" t="s">
        <v>239</v>
      </c>
      <c r="G64" s="197">
        <v>0</v>
      </c>
      <c r="H64" s="196">
        <v>0</v>
      </c>
      <c r="I64" s="196">
        <v>0</v>
      </c>
      <c r="J64" s="196"/>
      <c r="K64" s="195">
        <v>0</v>
      </c>
      <c r="L64" s="183"/>
      <c r="M64" s="197">
        <v>0</v>
      </c>
      <c r="N64" s="196">
        <v>0</v>
      </c>
      <c r="O64" s="196">
        <v>0</v>
      </c>
      <c r="P64" s="195">
        <v>0</v>
      </c>
    </row>
    <row r="65" spans="2:16" hidden="1" outlineLevel="1" x14ac:dyDescent="0.3">
      <c r="B65" s="190"/>
      <c r="C65" s="190"/>
      <c r="D65" s="190"/>
      <c r="E65" s="190"/>
      <c r="F65" s="190" t="s">
        <v>238</v>
      </c>
      <c r="G65" s="197">
        <v>0</v>
      </c>
      <c r="H65" s="196">
        <v>0</v>
      </c>
      <c r="I65" s="196">
        <v>0</v>
      </c>
      <c r="J65" s="196"/>
      <c r="K65" s="195">
        <v>0</v>
      </c>
      <c r="L65" s="183"/>
      <c r="M65" s="197">
        <v>1152</v>
      </c>
      <c r="N65" s="196">
        <v>0</v>
      </c>
      <c r="O65" s="196">
        <v>0</v>
      </c>
      <c r="P65" s="195">
        <v>0</v>
      </c>
    </row>
    <row r="66" spans="2:16" s="184" customFormat="1" collapsed="1" x14ac:dyDescent="0.3">
      <c r="B66" s="194"/>
      <c r="C66" s="194"/>
      <c r="D66" s="194"/>
      <c r="E66" s="194" t="s">
        <v>237</v>
      </c>
      <c r="F66" s="194"/>
      <c r="G66" s="200">
        <f>ROUND(SUM(G62:G65),5)</f>
        <v>0</v>
      </c>
      <c r="H66" s="199">
        <f>ROUND(SUM(H62:H65),5)</f>
        <v>0</v>
      </c>
      <c r="I66" s="199">
        <f>ROUND(SUM(I62:I65),5)</f>
        <v>0</v>
      </c>
      <c r="J66" s="199"/>
      <c r="K66" s="198">
        <f>ROUND(SUM(K62:K65),5)</f>
        <v>0</v>
      </c>
      <c r="L66" s="201"/>
      <c r="M66" s="200">
        <f>ROUND(SUM(M62:M65),5)</f>
        <v>1152</v>
      </c>
      <c r="N66" s="199">
        <f>ROUND(SUM(N62:N65),5)</f>
        <v>0</v>
      </c>
      <c r="O66" s="199">
        <f>ROUND(SUM(O62:O65),5)</f>
        <v>0</v>
      </c>
      <c r="P66" s="198">
        <f>ROUND(SUM(P62:P65),5)</f>
        <v>0</v>
      </c>
    </row>
    <row r="67" spans="2:16" hidden="1" outlineLevel="1" x14ac:dyDescent="0.3">
      <c r="B67" s="190"/>
      <c r="C67" s="190"/>
      <c r="D67" s="190"/>
      <c r="E67" s="190" t="s">
        <v>79</v>
      </c>
      <c r="F67" s="190"/>
      <c r="G67" s="197"/>
      <c r="H67" s="196"/>
      <c r="I67" s="196"/>
      <c r="J67" s="196"/>
      <c r="K67" s="195"/>
      <c r="L67" s="183"/>
      <c r="M67" s="197"/>
      <c r="N67" s="196"/>
      <c r="O67" s="196"/>
      <c r="P67" s="195"/>
    </row>
    <row r="68" spans="2:16" hidden="1" outlineLevel="1" x14ac:dyDescent="0.3">
      <c r="B68" s="190"/>
      <c r="C68" s="190"/>
      <c r="D68" s="190"/>
      <c r="E68" s="190"/>
      <c r="F68" s="190" t="s">
        <v>178</v>
      </c>
      <c r="G68" s="197">
        <v>0</v>
      </c>
      <c r="H68" s="196">
        <v>0</v>
      </c>
      <c r="I68" s="196">
        <v>0</v>
      </c>
      <c r="J68" s="196"/>
      <c r="K68" s="195">
        <v>0</v>
      </c>
      <c r="L68" s="183"/>
      <c r="M68" s="197">
        <v>19950.8</v>
      </c>
      <c r="N68" s="196">
        <v>67065.39</v>
      </c>
      <c r="O68" s="196">
        <v>4370.1000000000004</v>
      </c>
      <c r="P68" s="195">
        <v>0</v>
      </c>
    </row>
    <row r="69" spans="2:16" hidden="1" outlineLevel="1" x14ac:dyDescent="0.3">
      <c r="B69" s="190"/>
      <c r="C69" s="190"/>
      <c r="D69" s="190"/>
      <c r="E69" s="190"/>
      <c r="F69" s="190" t="s">
        <v>236</v>
      </c>
      <c r="G69" s="197">
        <v>0</v>
      </c>
      <c r="H69" s="196">
        <v>0</v>
      </c>
      <c r="I69" s="196">
        <v>0</v>
      </c>
      <c r="J69" s="196"/>
      <c r="K69" s="195">
        <v>0</v>
      </c>
      <c r="L69" s="183"/>
      <c r="M69" s="197">
        <v>0</v>
      </c>
      <c r="N69" s="196">
        <v>0</v>
      </c>
      <c r="O69" s="196">
        <v>0</v>
      </c>
      <c r="P69" s="195">
        <v>0</v>
      </c>
    </row>
    <row r="70" spans="2:16" hidden="1" outlineLevel="1" x14ac:dyDescent="0.3">
      <c r="B70" s="190"/>
      <c r="C70" s="190"/>
      <c r="D70" s="190"/>
      <c r="E70" s="190"/>
      <c r="F70" s="190" t="s">
        <v>179</v>
      </c>
      <c r="G70" s="197">
        <v>0</v>
      </c>
      <c r="H70" s="196">
        <v>0</v>
      </c>
      <c r="I70" s="196">
        <v>0</v>
      </c>
      <c r="J70" s="196"/>
      <c r="K70" s="195">
        <v>0</v>
      </c>
      <c r="L70" s="183"/>
      <c r="M70" s="197">
        <v>0</v>
      </c>
      <c r="N70" s="196">
        <v>103519.43</v>
      </c>
      <c r="O70" s="196">
        <v>16494.330000000002</v>
      </c>
      <c r="P70" s="195">
        <v>0</v>
      </c>
    </row>
    <row r="71" spans="2:16" hidden="1" outlineLevel="1" x14ac:dyDescent="0.3">
      <c r="B71" s="190"/>
      <c r="C71" s="190"/>
      <c r="D71" s="190"/>
      <c r="E71" s="190"/>
      <c r="F71" s="190" t="s">
        <v>235</v>
      </c>
      <c r="G71" s="197">
        <v>0</v>
      </c>
      <c r="H71" s="196">
        <v>0</v>
      </c>
      <c r="I71" s="196">
        <v>0</v>
      </c>
      <c r="J71" s="196"/>
      <c r="K71" s="195">
        <v>0</v>
      </c>
      <c r="L71" s="183"/>
      <c r="M71" s="197">
        <v>0</v>
      </c>
      <c r="N71" s="196">
        <v>477216.65</v>
      </c>
      <c r="O71" s="196">
        <v>0</v>
      </c>
      <c r="P71" s="195">
        <v>0</v>
      </c>
    </row>
    <row r="72" spans="2:16" s="184" customFormat="1" collapsed="1" x14ac:dyDescent="0.3">
      <c r="B72" s="194"/>
      <c r="C72" s="194"/>
      <c r="D72" s="194"/>
      <c r="E72" s="194" t="s">
        <v>180</v>
      </c>
      <c r="F72" s="194"/>
      <c r="G72" s="200">
        <f>ROUND(SUM(G68:G71),5)</f>
        <v>0</v>
      </c>
      <c r="H72" s="199">
        <f>ROUND(SUM(H68:H71),5)</f>
        <v>0</v>
      </c>
      <c r="I72" s="199">
        <f>ROUND(SUM(I68:I71),5)</f>
        <v>0</v>
      </c>
      <c r="J72" s="199"/>
      <c r="K72" s="198">
        <f>ROUND(SUM(K68:K71),5)</f>
        <v>0</v>
      </c>
      <c r="L72" s="201"/>
      <c r="M72" s="200">
        <f>ROUND(SUM(M68:M71),5)</f>
        <v>19950.8</v>
      </c>
      <c r="N72" s="199">
        <f>ROUND(SUM(N68:N71),5)</f>
        <v>647801.47</v>
      </c>
      <c r="O72" s="199">
        <f>ROUND(SUM(O68:O71),5)</f>
        <v>20864.43</v>
      </c>
      <c r="P72" s="198">
        <f>ROUND(SUM(P68:P71),5)</f>
        <v>0</v>
      </c>
    </row>
    <row r="73" spans="2:16" s="184" customFormat="1" x14ac:dyDescent="0.3">
      <c r="B73" s="194"/>
      <c r="C73" s="194"/>
      <c r="D73" s="194" t="s">
        <v>82</v>
      </c>
      <c r="E73" s="194"/>
      <c r="G73" s="200">
        <f>ROUND(G18+G61+G66+G22+G50+G72+G28+G34+G56+G44+G38,5)</f>
        <v>35885.58</v>
      </c>
      <c r="H73" s="199">
        <f>ROUND(H18+H61+H66+H22+H50+H72+H28+H34+H56+H44+H38,5)</f>
        <v>2661.19</v>
      </c>
      <c r="I73" s="199">
        <f>ROUND(I18+I61+I66+I22+I50+I72+I28+I34+I56+I44+I38,5)</f>
        <v>253.99</v>
      </c>
      <c r="J73" s="199"/>
      <c r="K73" s="198">
        <f>ROUND(K18+K61+K66+K22+K50+K72+K28+K34+K56+K44+K38,5)</f>
        <v>131000</v>
      </c>
      <c r="L73" s="201"/>
      <c r="M73" s="200">
        <f>ROUND(M18+M61+M66+M22+M50+M72+M28+M34+M56+M44+M38,5)</f>
        <v>102334.19</v>
      </c>
      <c r="N73" s="199">
        <f>ROUND(N18+N61+N66+N22+N50+N72+N28+N34+N56+N44+N38,5)</f>
        <v>651771.35</v>
      </c>
      <c r="O73" s="199">
        <f>ROUND(O18+O61+O66+O22+O50+O72+O28+O34+O56+O44+O38,5)</f>
        <v>24539.88</v>
      </c>
      <c r="P73" s="198">
        <f>ROUND(P18+P61+P66+P22+P50+P72+P28+P34+P56+P44+P38,5)</f>
        <v>3000</v>
      </c>
    </row>
    <row r="74" spans="2:16" x14ac:dyDescent="0.3">
      <c r="B74" s="190"/>
      <c r="C74" s="190"/>
      <c r="D74" s="190"/>
      <c r="E74" s="190" t="s">
        <v>83</v>
      </c>
      <c r="G74" s="197">
        <v>0</v>
      </c>
      <c r="H74" s="196">
        <v>0</v>
      </c>
      <c r="I74" s="196">
        <v>0</v>
      </c>
      <c r="J74" s="196"/>
      <c r="K74" s="195">
        <v>0</v>
      </c>
      <c r="L74" s="183"/>
      <c r="M74" s="197">
        <v>0</v>
      </c>
      <c r="N74" s="196">
        <v>5926.98</v>
      </c>
      <c r="O74" s="196">
        <v>16292.03</v>
      </c>
      <c r="P74" s="195">
        <v>0</v>
      </c>
    </row>
    <row r="75" spans="2:16" ht="13.5" thickBot="1" x14ac:dyDescent="0.35">
      <c r="B75" s="190"/>
      <c r="C75" s="190"/>
      <c r="D75" s="190"/>
      <c r="E75" s="190" t="s">
        <v>84</v>
      </c>
      <c r="G75" s="197">
        <v>5190.59</v>
      </c>
      <c r="H75" s="196">
        <v>2926.02</v>
      </c>
      <c r="I75" s="196">
        <v>0</v>
      </c>
      <c r="J75" s="196"/>
      <c r="K75" s="195">
        <v>9000</v>
      </c>
      <c r="L75" s="183"/>
      <c r="M75" s="197">
        <v>5760.57</v>
      </c>
      <c r="N75" s="196">
        <v>0</v>
      </c>
      <c r="O75" s="196">
        <v>0</v>
      </c>
      <c r="P75" s="195">
        <v>3000</v>
      </c>
    </row>
    <row r="76" spans="2:16" s="184" customFormat="1" ht="13.5" collapsed="1" thickBot="1" x14ac:dyDescent="0.35">
      <c r="B76" s="194"/>
      <c r="C76" s="194" t="s">
        <v>209</v>
      </c>
      <c r="D76" s="194"/>
      <c r="F76" s="194"/>
      <c r="G76" s="193">
        <f>ROUND(SUM(G15:G17)+SUM(G73:G75),5)</f>
        <v>41076.17</v>
      </c>
      <c r="H76" s="192">
        <f>ROUND(SUM(H15:H17)+SUM(H73:H75),5)</f>
        <v>5587.21</v>
      </c>
      <c r="I76" s="192">
        <f>ROUND(SUM(I15:I17)+SUM(I73:I75),5)</f>
        <v>253.99</v>
      </c>
      <c r="J76" s="192"/>
      <c r="K76" s="191">
        <f>ROUND(SUM(K15:K17)+SUM(K73:K75),5)</f>
        <v>140000</v>
      </c>
      <c r="L76" s="183"/>
      <c r="M76" s="193">
        <f>ROUND(SUM(M15:M17)+SUM(M73:M75),5)</f>
        <v>139057.51999999999</v>
      </c>
      <c r="N76" s="192">
        <f>ROUND(SUM(N15:N17)+SUM(N73:N75),5)</f>
        <v>695389.8</v>
      </c>
      <c r="O76" s="192">
        <f>ROUND(SUM(O15:O17)+SUM(O73:O75),5)</f>
        <v>93713.91</v>
      </c>
      <c r="P76" s="191">
        <f>ROUND(SUM(P15:P17)+SUM(P73:P75),5)</f>
        <v>57500</v>
      </c>
    </row>
    <row r="77" spans="2:16" ht="13.5" thickBot="1" x14ac:dyDescent="0.35">
      <c r="B77" s="190"/>
      <c r="C77" s="190" t="s">
        <v>208</v>
      </c>
      <c r="D77" s="190"/>
      <c r="E77" s="190"/>
      <c r="F77" s="190"/>
      <c r="G77" s="189">
        <f>ROUND(G13-G76,5)</f>
        <v>8927.83</v>
      </c>
      <c r="H77" s="188">
        <f>ROUND(H13-H76,5)</f>
        <v>24412.79</v>
      </c>
      <c r="I77" s="188">
        <f>ROUND(I13-I76,5)</f>
        <v>39746.01</v>
      </c>
      <c r="J77" s="196"/>
      <c r="K77" s="187">
        <f>ROUND(K13-K76,5)</f>
        <v>-90000</v>
      </c>
      <c r="L77" s="183"/>
      <c r="M77" s="189">
        <f>ROUND(M13-M76,5)</f>
        <v>-54433.120000000003</v>
      </c>
      <c r="N77" s="188">
        <f>ROUND(N13-N76,5)</f>
        <v>-357329.08</v>
      </c>
      <c r="O77" s="188">
        <f>ROUND(O13-O76,5)</f>
        <v>11371.41</v>
      </c>
      <c r="P77" s="187">
        <f>ROUND(P13-P76,5)</f>
        <v>24700</v>
      </c>
    </row>
    <row r="78" spans="2:16" s="184" customFormat="1" collapsed="1" x14ac:dyDescent="0.3">
      <c r="B78" s="186" t="s">
        <v>207</v>
      </c>
      <c r="C78" s="186"/>
      <c r="D78" s="186"/>
      <c r="E78" s="186"/>
      <c r="F78" s="186"/>
      <c r="G78" s="185">
        <f>G5+G77</f>
        <v>210866.83</v>
      </c>
      <c r="H78" s="185">
        <f>H5+H77</f>
        <v>235322.79</v>
      </c>
      <c r="I78" s="185">
        <f>I5+I77</f>
        <v>275069.01</v>
      </c>
      <c r="J78" s="185"/>
      <c r="K78" s="185">
        <f>K5+K77</f>
        <v>185069.01</v>
      </c>
      <c r="L78" s="183"/>
      <c r="M78" s="185">
        <f>M5+M77</f>
        <v>267797.88</v>
      </c>
      <c r="N78" s="185">
        <f>N5+N77</f>
        <v>-89574.080000000016</v>
      </c>
      <c r="O78" s="185">
        <f>O5+O77</f>
        <v>-78202.59</v>
      </c>
      <c r="P78" s="185">
        <f>P5+P77</f>
        <v>-53502.59</v>
      </c>
    </row>
    <row r="80" spans="2:16" collapsed="1" x14ac:dyDescent="0.3">
      <c r="G80" s="183"/>
      <c r="M80" s="183"/>
    </row>
    <row r="81" spans="6:16" collapsed="1" x14ac:dyDescent="0.3"/>
    <row r="83" spans="6:16" s="182" customFormat="1" x14ac:dyDescent="0.3">
      <c r="F83" s="181"/>
      <c r="G83" s="181"/>
      <c r="H83" s="181"/>
      <c r="I83" s="181"/>
      <c r="J83" s="181"/>
      <c r="K83" s="181"/>
      <c r="L83" s="181"/>
      <c r="M83" s="181"/>
      <c r="N83" s="181"/>
      <c r="O83" s="181"/>
      <c r="P83" s="181"/>
    </row>
  </sheetData>
  <mergeCells count="3">
    <mergeCell ref="G2:K2"/>
    <mergeCell ref="M2:P2"/>
    <mergeCell ref="B5:F5"/>
  </mergeCells>
  <pageMargins left="0.25" right="0.25" top="0.75" bottom="0.75" header="0.3" footer="0.3"/>
  <pageSetup fitToHeight="0" orientation="landscape" r:id="rId1"/>
  <headerFooter scaleWithDoc="0" alignWithMargins="0">
    <oddHeader>&amp;C&amp;"Arial,Bold"&amp;10Capital Funds Budget Worksheet</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G52"/>
  <sheetViews>
    <sheetView workbookViewId="0">
      <selection activeCell="AJ24" sqref="AJ24"/>
    </sheetView>
  </sheetViews>
  <sheetFormatPr defaultRowHeight="14.5" outlineLevelRow="3" outlineLevelCol="1" x14ac:dyDescent="0.35"/>
  <cols>
    <col min="1" max="6" width="3" style="15" customWidth="1"/>
    <col min="7" max="7" width="27.90625" style="15" customWidth="1"/>
    <col min="8" max="8" width="7" bestFit="1" customWidth="1" outlineLevel="1"/>
    <col min="9" max="9" width="2.36328125" customWidth="1" outlineLevel="1"/>
    <col min="10" max="10" width="7" bestFit="1" customWidth="1" outlineLevel="1"/>
    <col min="11" max="11" width="2.36328125" customWidth="1" outlineLevel="1"/>
    <col min="12" max="12" width="8.453125" bestFit="1" customWidth="1" outlineLevel="1"/>
    <col min="13" max="13" width="2.36328125" customWidth="1" outlineLevel="1"/>
    <col min="14" max="14" width="7.54296875" bestFit="1" customWidth="1" outlineLevel="1"/>
    <col min="15" max="15" width="2.36328125" customWidth="1" outlineLevel="1"/>
    <col min="16" max="16" width="7.90625" bestFit="1" customWidth="1" outlineLevel="1"/>
    <col min="17" max="17" width="2.36328125" customWidth="1" outlineLevel="1"/>
    <col min="18" max="18" width="7.90625" bestFit="1" customWidth="1" outlineLevel="1"/>
    <col min="19" max="19" width="2.36328125" customWidth="1" outlineLevel="1"/>
    <col min="20" max="20" width="7.90625" bestFit="1" customWidth="1" outlineLevel="1"/>
    <col min="21" max="21" width="2.36328125" customWidth="1" outlineLevel="1"/>
    <col min="22" max="22" width="7" bestFit="1" customWidth="1" outlineLevel="1"/>
    <col min="23" max="23" width="2.36328125" customWidth="1" outlineLevel="1"/>
    <col min="24" max="24" width="7" bestFit="1" customWidth="1" outlineLevel="1"/>
    <col min="25" max="25" width="2.36328125" customWidth="1" outlineLevel="1"/>
    <col min="26" max="26" width="7.90625" bestFit="1" customWidth="1" outlineLevel="1"/>
    <col min="27" max="27" width="2.36328125" customWidth="1" outlineLevel="1"/>
    <col min="28" max="28" width="7" bestFit="1" customWidth="1" outlineLevel="1"/>
    <col min="29" max="29" width="2.36328125" customWidth="1" outlineLevel="1"/>
    <col min="30" max="30" width="7" bestFit="1" customWidth="1" outlineLevel="1"/>
    <col min="31" max="31" width="2.36328125" customWidth="1" outlineLevel="1"/>
    <col min="32" max="32" width="10.54296875" customWidth="1"/>
  </cols>
  <sheetData>
    <row r="1" spans="1:32" s="19" customFormat="1" ht="15" thickBot="1" x14ac:dyDescent="0.4">
      <c r="A1" s="16"/>
      <c r="B1" s="16"/>
      <c r="C1" s="16"/>
      <c r="D1" s="16"/>
      <c r="E1" s="16"/>
      <c r="F1" s="16"/>
      <c r="G1" s="16"/>
      <c r="H1" s="21" t="s">
        <v>101</v>
      </c>
      <c r="I1" s="18"/>
      <c r="J1" s="21" t="s">
        <v>103</v>
      </c>
      <c r="K1" s="18"/>
      <c r="L1" s="21" t="s">
        <v>105</v>
      </c>
      <c r="M1" s="18"/>
      <c r="N1" s="21" t="s">
        <v>107</v>
      </c>
      <c r="O1" s="18"/>
      <c r="P1" s="21" t="s">
        <v>109</v>
      </c>
      <c r="Q1" s="18"/>
      <c r="R1" s="21" t="s">
        <v>111</v>
      </c>
      <c r="S1" s="18"/>
      <c r="T1" s="21" t="s">
        <v>113</v>
      </c>
      <c r="U1" s="18"/>
      <c r="V1" s="21" t="s">
        <v>115</v>
      </c>
      <c r="W1" s="18"/>
      <c r="X1" s="21" t="s">
        <v>117</v>
      </c>
      <c r="Y1" s="18"/>
      <c r="Z1" s="21" t="s">
        <v>119</v>
      </c>
      <c r="AA1" s="18"/>
      <c r="AB1" s="21" t="s">
        <v>121</v>
      </c>
      <c r="AC1" s="18"/>
      <c r="AD1" s="21" t="s">
        <v>187</v>
      </c>
      <c r="AE1" s="18"/>
      <c r="AF1" s="21" t="s">
        <v>3</v>
      </c>
    </row>
    <row r="2" spans="1:32" ht="15" thickTop="1" x14ac:dyDescent="0.35">
      <c r="A2" s="2"/>
      <c r="B2" s="2" t="s">
        <v>7</v>
      </c>
      <c r="C2" s="2"/>
      <c r="D2" s="2"/>
      <c r="E2" s="2"/>
      <c r="F2" s="2"/>
      <c r="G2" s="2"/>
      <c r="H2" s="6"/>
      <c r="I2" s="7"/>
      <c r="J2" s="6"/>
      <c r="K2" s="7"/>
      <c r="L2" s="6"/>
      <c r="M2" s="7"/>
      <c r="N2" s="6"/>
      <c r="O2" s="7"/>
      <c r="P2" s="6"/>
      <c r="Q2" s="7"/>
      <c r="R2" s="6"/>
      <c r="S2" s="7"/>
      <c r="T2" s="6"/>
      <c r="U2" s="7"/>
      <c r="V2" s="6"/>
      <c r="W2" s="7"/>
      <c r="X2" s="6"/>
      <c r="Y2" s="7"/>
      <c r="Z2" s="6"/>
      <c r="AA2" s="7"/>
      <c r="AB2" s="6"/>
      <c r="AC2" s="7"/>
      <c r="AD2" s="6"/>
      <c r="AE2" s="7"/>
      <c r="AF2" s="6"/>
    </row>
    <row r="3" spans="1:32" outlineLevel="1" x14ac:dyDescent="0.35">
      <c r="A3" s="2"/>
      <c r="B3" s="2"/>
      <c r="C3" s="2"/>
      <c r="D3" s="2" t="s">
        <v>8</v>
      </c>
      <c r="E3" s="2"/>
      <c r="F3" s="2"/>
      <c r="G3" s="2"/>
      <c r="H3" s="6"/>
      <c r="I3" s="7"/>
      <c r="J3" s="6"/>
      <c r="K3" s="7"/>
      <c r="L3" s="6"/>
      <c r="M3" s="7"/>
      <c r="N3" s="6"/>
      <c r="O3" s="7"/>
      <c r="P3" s="6"/>
      <c r="Q3" s="7"/>
      <c r="R3" s="6"/>
      <c r="S3" s="7"/>
      <c r="T3" s="6"/>
      <c r="U3" s="7"/>
      <c r="V3" s="6"/>
      <c r="W3" s="7"/>
      <c r="X3" s="6"/>
      <c r="Y3" s="7"/>
      <c r="Z3" s="6"/>
      <c r="AA3" s="7"/>
      <c r="AB3" s="6"/>
      <c r="AC3" s="7"/>
      <c r="AD3" s="6"/>
      <c r="AE3" s="7"/>
      <c r="AF3" s="6"/>
    </row>
    <row r="4" spans="1:32" outlineLevel="2" x14ac:dyDescent="0.35">
      <c r="A4" s="2"/>
      <c r="B4" s="2"/>
      <c r="C4" s="2"/>
      <c r="D4" s="2"/>
      <c r="E4" s="2" t="s">
        <v>9</v>
      </c>
      <c r="F4" s="2"/>
      <c r="G4" s="2"/>
      <c r="H4" s="6"/>
      <c r="I4" s="7"/>
      <c r="J4" s="6"/>
      <c r="K4" s="7"/>
      <c r="L4" s="6"/>
      <c r="M4" s="7"/>
      <c r="N4" s="6"/>
      <c r="O4" s="7"/>
      <c r="P4" s="6"/>
      <c r="Q4" s="7"/>
      <c r="R4" s="6"/>
      <c r="S4" s="7"/>
      <c r="T4" s="6"/>
      <c r="U4" s="7"/>
      <c r="V4" s="6"/>
      <c r="W4" s="7"/>
      <c r="X4" s="6"/>
      <c r="Y4" s="7"/>
      <c r="Z4" s="6"/>
      <c r="AA4" s="7"/>
      <c r="AB4" s="6"/>
      <c r="AC4" s="7"/>
      <c r="AD4" s="6"/>
      <c r="AE4" s="7"/>
      <c r="AF4" s="6"/>
    </row>
    <row r="5" spans="1:32" outlineLevel="2" x14ac:dyDescent="0.35">
      <c r="A5" s="2"/>
      <c r="B5" s="2"/>
      <c r="C5" s="2"/>
      <c r="D5" s="2"/>
      <c r="E5" s="2"/>
      <c r="F5" s="2" t="s">
        <v>10</v>
      </c>
      <c r="G5" s="2"/>
      <c r="H5" s="6">
        <v>1173</v>
      </c>
      <c r="I5" s="7"/>
      <c r="J5" s="6">
        <v>1139</v>
      </c>
      <c r="K5" s="7"/>
      <c r="L5" s="6">
        <v>1122</v>
      </c>
      <c r="M5" s="7"/>
      <c r="N5" s="6">
        <v>1105</v>
      </c>
      <c r="O5" s="7"/>
      <c r="P5" s="6">
        <v>1105</v>
      </c>
      <c r="Q5" s="7"/>
      <c r="R5" s="6">
        <v>1083</v>
      </c>
      <c r="S5" s="7"/>
      <c r="T5" s="6">
        <v>1071</v>
      </c>
      <c r="U5" s="7"/>
      <c r="V5" s="6">
        <v>1054</v>
      </c>
      <c r="W5" s="7"/>
      <c r="X5" s="6">
        <v>1071</v>
      </c>
      <c r="Y5" s="7"/>
      <c r="Z5" s="6">
        <v>1071</v>
      </c>
      <c r="AA5" s="7"/>
      <c r="AB5" s="6">
        <v>1054</v>
      </c>
      <c r="AC5" s="7"/>
      <c r="AD5" s="6">
        <v>1071</v>
      </c>
      <c r="AE5" s="7"/>
      <c r="AF5" s="6">
        <f>ROUND(SUM(H5:AD5),5)</f>
        <v>13119</v>
      </c>
    </row>
    <row r="6" spans="1:32" outlineLevel="2" x14ac:dyDescent="0.35">
      <c r="A6" s="2"/>
      <c r="B6" s="2"/>
      <c r="C6" s="2"/>
      <c r="D6" s="2"/>
      <c r="E6" s="2"/>
      <c r="F6" s="2" t="s">
        <v>13</v>
      </c>
      <c r="G6" s="2"/>
      <c r="H6" s="6">
        <v>10</v>
      </c>
      <c r="I6" s="7"/>
      <c r="J6" s="6">
        <v>10.44</v>
      </c>
      <c r="K6" s="7"/>
      <c r="L6" s="6">
        <v>10.82</v>
      </c>
      <c r="M6" s="7"/>
      <c r="N6" s="6">
        <v>11.73</v>
      </c>
      <c r="O6" s="7"/>
      <c r="P6" s="6">
        <v>11.94</v>
      </c>
      <c r="Q6" s="7"/>
      <c r="R6" s="6">
        <v>12.45</v>
      </c>
      <c r="S6" s="7"/>
      <c r="T6" s="6">
        <v>15.38</v>
      </c>
      <c r="U6" s="7"/>
      <c r="V6" s="6">
        <v>19.37</v>
      </c>
      <c r="W6" s="7"/>
      <c r="X6" s="6">
        <v>16.53</v>
      </c>
      <c r="Y6" s="7"/>
      <c r="Z6" s="6">
        <v>15.38</v>
      </c>
      <c r="AA6" s="7"/>
      <c r="AB6" s="6">
        <v>19.37</v>
      </c>
      <c r="AC6" s="7"/>
      <c r="AD6" s="6">
        <v>16.53</v>
      </c>
      <c r="AE6" s="7"/>
      <c r="AF6" s="6">
        <f>ROUND(SUM(H6:AD6),5)</f>
        <v>169.94</v>
      </c>
    </row>
    <row r="7" spans="1:32" ht="15" outlineLevel="2" thickBot="1" x14ac:dyDescent="0.4">
      <c r="A7" s="2"/>
      <c r="B7" s="2"/>
      <c r="C7" s="2"/>
      <c r="D7" s="2"/>
      <c r="E7" s="2"/>
      <c r="F7" s="2" t="s">
        <v>14</v>
      </c>
      <c r="G7" s="2"/>
      <c r="H7" s="9">
        <v>40.19</v>
      </c>
      <c r="I7" s="7"/>
      <c r="J7" s="9">
        <v>37.17</v>
      </c>
      <c r="K7" s="7"/>
      <c r="L7" s="9">
        <v>36.81</v>
      </c>
      <c r="M7" s="7"/>
      <c r="N7" s="9">
        <v>40.56</v>
      </c>
      <c r="O7" s="7"/>
      <c r="P7" s="9">
        <v>39.619999999999997</v>
      </c>
      <c r="Q7" s="7"/>
      <c r="R7" s="9">
        <v>40.65</v>
      </c>
      <c r="S7" s="7"/>
      <c r="T7" s="9">
        <v>44.04</v>
      </c>
      <c r="U7" s="7"/>
      <c r="V7" s="9">
        <v>42.17</v>
      </c>
      <c r="W7" s="7"/>
      <c r="X7" s="9">
        <v>43.46</v>
      </c>
      <c r="Y7" s="7"/>
      <c r="Z7" s="9">
        <v>44.04</v>
      </c>
      <c r="AA7" s="7"/>
      <c r="AB7" s="9">
        <v>42.17</v>
      </c>
      <c r="AC7" s="7"/>
      <c r="AD7" s="9">
        <v>43.46</v>
      </c>
      <c r="AE7" s="7"/>
      <c r="AF7" s="9">
        <f>ROUND(SUM(H7:AD7),5)</f>
        <v>494.34</v>
      </c>
    </row>
    <row r="8" spans="1:32" outlineLevel="1" x14ac:dyDescent="0.35">
      <c r="A8" s="2"/>
      <c r="B8" s="2"/>
      <c r="C8" s="2"/>
      <c r="D8" s="2"/>
      <c r="E8" s="2" t="s">
        <v>15</v>
      </c>
      <c r="F8" s="2"/>
      <c r="G8" s="2"/>
      <c r="H8" s="6">
        <f>ROUND(SUM(H4:H7),5)</f>
        <v>1223.19</v>
      </c>
      <c r="I8" s="7"/>
      <c r="J8" s="6">
        <f>ROUND(SUM(J4:J7),5)</f>
        <v>1186.6099999999999</v>
      </c>
      <c r="K8" s="7"/>
      <c r="L8" s="6">
        <f>ROUND(SUM(L4:L7),5)</f>
        <v>1169.6300000000001</v>
      </c>
      <c r="M8" s="7"/>
      <c r="N8" s="6">
        <f>ROUND(SUM(N4:N7),5)</f>
        <v>1157.29</v>
      </c>
      <c r="O8" s="7"/>
      <c r="P8" s="6">
        <f>ROUND(SUM(P4:P7),5)</f>
        <v>1156.56</v>
      </c>
      <c r="Q8" s="7"/>
      <c r="R8" s="6">
        <f>ROUND(SUM(R4:R7),5)</f>
        <v>1136.0999999999999</v>
      </c>
      <c r="S8" s="7"/>
      <c r="T8" s="6">
        <f>ROUND(SUM(T4:T7),5)</f>
        <v>1130.42</v>
      </c>
      <c r="U8" s="7"/>
      <c r="V8" s="6">
        <f>ROUND(SUM(V4:V7),5)</f>
        <v>1115.54</v>
      </c>
      <c r="W8" s="7"/>
      <c r="X8" s="6">
        <f>ROUND(SUM(X4:X7),5)</f>
        <v>1130.99</v>
      </c>
      <c r="Y8" s="7"/>
      <c r="Z8" s="6">
        <f>ROUND(SUM(Z4:Z7),5)</f>
        <v>1130.42</v>
      </c>
      <c r="AA8" s="7"/>
      <c r="AB8" s="6">
        <f>ROUND(SUM(AB4:AB7),5)</f>
        <v>1115.54</v>
      </c>
      <c r="AC8" s="7"/>
      <c r="AD8" s="6">
        <f>ROUND(SUM(AD4:AD7),5)</f>
        <v>1130.99</v>
      </c>
      <c r="AE8" s="7"/>
      <c r="AF8" s="6">
        <f>ROUND(SUM(H8:AD8),5)</f>
        <v>13783.28</v>
      </c>
    </row>
    <row r="9" spans="1:32" outlineLevel="2" x14ac:dyDescent="0.35">
      <c r="A9" s="2"/>
      <c r="B9" s="2"/>
      <c r="C9" s="2"/>
      <c r="D9" s="2"/>
      <c r="E9" s="2" t="s">
        <v>16</v>
      </c>
      <c r="F9" s="2"/>
      <c r="G9" s="2"/>
      <c r="H9" s="6"/>
      <c r="I9" s="7"/>
      <c r="J9" s="6"/>
      <c r="K9" s="7"/>
      <c r="L9" s="6"/>
      <c r="M9" s="7"/>
      <c r="N9" s="6"/>
      <c r="O9" s="7"/>
      <c r="P9" s="6"/>
      <c r="Q9" s="7"/>
      <c r="R9" s="6"/>
      <c r="S9" s="7"/>
      <c r="T9" s="6"/>
      <c r="U9" s="7"/>
      <c r="V9" s="6"/>
      <c r="W9" s="7"/>
      <c r="X9" s="6"/>
      <c r="Y9" s="7"/>
      <c r="Z9" s="6"/>
      <c r="AA9" s="7"/>
      <c r="AB9" s="6"/>
      <c r="AC9" s="7"/>
      <c r="AD9" s="6"/>
      <c r="AE9" s="7"/>
      <c r="AF9" s="6"/>
    </row>
    <row r="10" spans="1:32" outlineLevel="2" x14ac:dyDescent="0.35">
      <c r="A10" s="2"/>
      <c r="B10" s="2"/>
      <c r="C10" s="2"/>
      <c r="D10" s="2"/>
      <c r="E10" s="2"/>
      <c r="F10" s="2" t="s">
        <v>17</v>
      </c>
      <c r="G10" s="2"/>
      <c r="H10" s="6">
        <v>12</v>
      </c>
      <c r="I10" s="7"/>
      <c r="J10" s="6">
        <v>12</v>
      </c>
      <c r="K10" s="7"/>
      <c r="L10" s="6">
        <v>12</v>
      </c>
      <c r="M10" s="7"/>
      <c r="N10" s="6">
        <v>12</v>
      </c>
      <c r="O10" s="7"/>
      <c r="P10" s="6">
        <v>12</v>
      </c>
      <c r="Q10" s="7"/>
      <c r="R10" s="6">
        <v>12</v>
      </c>
      <c r="S10" s="7"/>
      <c r="T10" s="6">
        <v>12</v>
      </c>
      <c r="U10" s="7"/>
      <c r="V10" s="6">
        <v>12</v>
      </c>
      <c r="W10" s="7"/>
      <c r="X10" s="6">
        <v>12</v>
      </c>
      <c r="Y10" s="7"/>
      <c r="Z10" s="6">
        <v>12</v>
      </c>
      <c r="AA10" s="7"/>
      <c r="AB10" s="6">
        <v>12</v>
      </c>
      <c r="AC10" s="7"/>
      <c r="AD10" s="6">
        <v>12</v>
      </c>
      <c r="AE10" s="7"/>
      <c r="AF10" s="6">
        <f>ROUND(SUM(H10:AD10),5)</f>
        <v>144</v>
      </c>
    </row>
    <row r="11" spans="1:32" ht="15" outlineLevel="2" thickBot="1" x14ac:dyDescent="0.4">
      <c r="A11" s="2"/>
      <c r="B11" s="2"/>
      <c r="C11" s="2"/>
      <c r="D11" s="2"/>
      <c r="E11" s="2"/>
      <c r="F11" s="2" t="s">
        <v>18</v>
      </c>
      <c r="G11" s="2"/>
      <c r="H11" s="9">
        <v>5628</v>
      </c>
      <c r="I11" s="7"/>
      <c r="J11" s="9">
        <v>5628</v>
      </c>
      <c r="K11" s="7"/>
      <c r="L11" s="9">
        <v>5628</v>
      </c>
      <c r="M11" s="7"/>
      <c r="N11" s="9">
        <v>5628</v>
      </c>
      <c r="O11" s="7"/>
      <c r="P11" s="9">
        <v>5628</v>
      </c>
      <c r="Q11" s="7"/>
      <c r="R11" s="9">
        <v>5628</v>
      </c>
      <c r="S11" s="7"/>
      <c r="T11" s="9">
        <v>5628</v>
      </c>
      <c r="U11" s="7"/>
      <c r="V11" s="9">
        <v>5628</v>
      </c>
      <c r="W11" s="7"/>
      <c r="X11" s="9">
        <v>5640</v>
      </c>
      <c r="Y11" s="7"/>
      <c r="Z11" s="9">
        <v>5628</v>
      </c>
      <c r="AA11" s="7"/>
      <c r="AB11" s="9">
        <v>5628</v>
      </c>
      <c r="AC11" s="7"/>
      <c r="AD11" s="9">
        <v>5640</v>
      </c>
      <c r="AE11" s="7"/>
      <c r="AF11" s="9">
        <f>ROUND(SUM(H11:AD11),5)</f>
        <v>67560</v>
      </c>
    </row>
    <row r="12" spans="1:32" outlineLevel="1" x14ac:dyDescent="0.35">
      <c r="A12" s="2"/>
      <c r="B12" s="2"/>
      <c r="C12" s="2"/>
      <c r="D12" s="2"/>
      <c r="E12" s="2" t="s">
        <v>19</v>
      </c>
      <c r="F12" s="2"/>
      <c r="G12" s="2"/>
      <c r="H12" s="6">
        <f>ROUND(SUM(H9:H11),5)</f>
        <v>5640</v>
      </c>
      <c r="I12" s="7"/>
      <c r="J12" s="6">
        <f>ROUND(SUM(J9:J11),5)</f>
        <v>5640</v>
      </c>
      <c r="K12" s="7"/>
      <c r="L12" s="6">
        <f>ROUND(SUM(L9:L11),5)</f>
        <v>5640</v>
      </c>
      <c r="M12" s="7"/>
      <c r="N12" s="6">
        <f>ROUND(SUM(N9:N11),5)</f>
        <v>5640</v>
      </c>
      <c r="O12" s="7"/>
      <c r="P12" s="6">
        <f>ROUND(SUM(P9:P11),5)</f>
        <v>5640</v>
      </c>
      <c r="Q12" s="7"/>
      <c r="R12" s="6">
        <f>ROUND(SUM(R9:R11),5)</f>
        <v>5640</v>
      </c>
      <c r="S12" s="7"/>
      <c r="T12" s="6">
        <f>ROUND(SUM(T9:T11),5)</f>
        <v>5640</v>
      </c>
      <c r="U12" s="7"/>
      <c r="V12" s="6">
        <f>ROUND(SUM(V9:V11),5)</f>
        <v>5640</v>
      </c>
      <c r="W12" s="7"/>
      <c r="X12" s="6">
        <f>ROUND(SUM(X9:X11),5)</f>
        <v>5652</v>
      </c>
      <c r="Y12" s="7"/>
      <c r="Z12" s="6">
        <f>ROUND(SUM(Z9:Z11),5)</f>
        <v>5640</v>
      </c>
      <c r="AA12" s="7"/>
      <c r="AB12" s="6">
        <f>ROUND(SUM(AB9:AB11),5)</f>
        <v>5640</v>
      </c>
      <c r="AC12" s="7"/>
      <c r="AD12" s="6">
        <f>ROUND(SUM(AD9:AD11),5)</f>
        <v>5652</v>
      </c>
      <c r="AE12" s="7"/>
      <c r="AF12" s="6">
        <f>ROUND(SUM(H12:AD12),5)</f>
        <v>67704</v>
      </c>
    </row>
    <row r="13" spans="1:32" outlineLevel="2" x14ac:dyDescent="0.35">
      <c r="A13" s="2"/>
      <c r="B13" s="2"/>
      <c r="C13" s="2"/>
      <c r="D13" s="2"/>
      <c r="E13" s="2" t="s">
        <v>20</v>
      </c>
      <c r="F13" s="2"/>
      <c r="G13" s="2"/>
      <c r="H13" s="6"/>
      <c r="I13" s="7"/>
      <c r="J13" s="6"/>
      <c r="K13" s="7"/>
      <c r="L13" s="6"/>
      <c r="M13" s="7"/>
      <c r="N13" s="6"/>
      <c r="O13" s="7"/>
      <c r="P13" s="6"/>
      <c r="Q13" s="7"/>
      <c r="R13" s="6"/>
      <c r="S13" s="7"/>
      <c r="T13" s="6"/>
      <c r="U13" s="7"/>
      <c r="V13" s="6"/>
      <c r="W13" s="7"/>
      <c r="X13" s="6"/>
      <c r="Y13" s="7"/>
      <c r="Z13" s="6"/>
      <c r="AA13" s="7"/>
      <c r="AB13" s="6"/>
      <c r="AC13" s="7"/>
      <c r="AD13" s="6"/>
      <c r="AE13" s="7"/>
      <c r="AF13" s="6"/>
    </row>
    <row r="14" spans="1:32" outlineLevel="2" x14ac:dyDescent="0.35">
      <c r="A14" s="2"/>
      <c r="B14" s="2"/>
      <c r="C14" s="2"/>
      <c r="D14" s="2"/>
      <c r="E14" s="2"/>
      <c r="F14" s="2" t="s">
        <v>21</v>
      </c>
      <c r="G14" s="2"/>
      <c r="H14" s="6">
        <v>400</v>
      </c>
      <c r="I14" s="7"/>
      <c r="J14" s="6">
        <v>0</v>
      </c>
      <c r="K14" s="7"/>
      <c r="L14" s="6">
        <v>-176</v>
      </c>
      <c r="M14" s="7"/>
      <c r="N14" s="6">
        <v>0</v>
      </c>
      <c r="O14" s="7"/>
      <c r="P14" s="6">
        <v>200</v>
      </c>
      <c r="Q14" s="7"/>
      <c r="R14" s="6">
        <v>376</v>
      </c>
      <c r="S14" s="7"/>
      <c r="T14" s="6">
        <v>376</v>
      </c>
      <c r="U14" s="7"/>
      <c r="V14" s="6">
        <v>0</v>
      </c>
      <c r="W14" s="7"/>
      <c r="X14" s="6">
        <v>0</v>
      </c>
      <c r="Y14" s="7"/>
      <c r="Z14" s="6">
        <v>0</v>
      </c>
      <c r="AA14" s="7"/>
      <c r="AB14" s="6">
        <v>0</v>
      </c>
      <c r="AC14" s="7"/>
      <c r="AD14" s="6">
        <v>0</v>
      </c>
      <c r="AE14" s="7"/>
      <c r="AF14" s="6">
        <f t="shared" ref="AF14:AF21" si="0">ROUND(SUM(H14:AD14),5)</f>
        <v>1176</v>
      </c>
    </row>
    <row r="15" spans="1:32" outlineLevel="2" x14ac:dyDescent="0.35">
      <c r="A15" s="2"/>
      <c r="B15" s="2"/>
      <c r="C15" s="2"/>
      <c r="D15" s="2"/>
      <c r="E15" s="2"/>
      <c r="F15" s="2" t="s">
        <v>22</v>
      </c>
      <c r="G15" s="2"/>
      <c r="H15" s="6">
        <v>880.49</v>
      </c>
      <c r="I15" s="7"/>
      <c r="J15" s="6">
        <v>0</v>
      </c>
      <c r="K15" s="7"/>
      <c r="L15" s="6">
        <v>0</v>
      </c>
      <c r="M15" s="7"/>
      <c r="N15" s="6">
        <v>0</v>
      </c>
      <c r="O15" s="7"/>
      <c r="P15" s="6">
        <v>2842.97</v>
      </c>
      <c r="Q15" s="7"/>
      <c r="R15" s="6">
        <v>4978.8999999999996</v>
      </c>
      <c r="S15" s="7"/>
      <c r="T15" s="6">
        <v>3233.76</v>
      </c>
      <c r="U15" s="7"/>
      <c r="V15" s="6">
        <v>0</v>
      </c>
      <c r="W15" s="7"/>
      <c r="X15" s="6">
        <v>0</v>
      </c>
      <c r="Y15" s="7"/>
      <c r="Z15" s="6">
        <v>0</v>
      </c>
      <c r="AA15" s="7"/>
      <c r="AB15" s="6">
        <v>0</v>
      </c>
      <c r="AC15" s="7"/>
      <c r="AD15" s="6">
        <v>0</v>
      </c>
      <c r="AE15" s="7"/>
      <c r="AF15" s="6">
        <f t="shared" si="0"/>
        <v>11936.12</v>
      </c>
    </row>
    <row r="16" spans="1:32" ht="15" outlineLevel="2" thickBot="1" x14ac:dyDescent="0.4">
      <c r="A16" s="2"/>
      <c r="B16" s="2"/>
      <c r="C16" s="2"/>
      <c r="D16" s="2"/>
      <c r="E16" s="2"/>
      <c r="F16" s="2" t="s">
        <v>23</v>
      </c>
      <c r="G16" s="2"/>
      <c r="H16" s="9">
        <v>50</v>
      </c>
      <c r="I16" s="7"/>
      <c r="J16" s="9">
        <v>0</v>
      </c>
      <c r="K16" s="7"/>
      <c r="L16" s="9">
        <v>0</v>
      </c>
      <c r="M16" s="7"/>
      <c r="N16" s="9">
        <v>0</v>
      </c>
      <c r="O16" s="7"/>
      <c r="P16" s="9">
        <v>115.1</v>
      </c>
      <c r="Q16" s="7"/>
      <c r="R16" s="9">
        <v>115.1</v>
      </c>
      <c r="S16" s="7"/>
      <c r="T16" s="9">
        <v>10000</v>
      </c>
      <c r="U16" s="7"/>
      <c r="V16" s="9">
        <v>0</v>
      </c>
      <c r="W16" s="7"/>
      <c r="X16" s="9">
        <v>0</v>
      </c>
      <c r="Y16" s="7"/>
      <c r="Z16" s="9">
        <v>0</v>
      </c>
      <c r="AA16" s="7"/>
      <c r="AB16" s="9">
        <v>0</v>
      </c>
      <c r="AC16" s="7"/>
      <c r="AD16" s="9">
        <v>0</v>
      </c>
      <c r="AE16" s="7"/>
      <c r="AF16" s="9">
        <f t="shared" si="0"/>
        <v>10280.200000000001</v>
      </c>
    </row>
    <row r="17" spans="1:33" outlineLevel="1" x14ac:dyDescent="0.35">
      <c r="A17" s="2"/>
      <c r="B17" s="2"/>
      <c r="C17" s="2"/>
      <c r="D17" s="2"/>
      <c r="E17" s="2" t="s">
        <v>24</v>
      </c>
      <c r="F17" s="2"/>
      <c r="G17" s="2"/>
      <c r="H17" s="6">
        <f>ROUND(SUM(H13:H16),5)</f>
        <v>1330.49</v>
      </c>
      <c r="I17" s="7"/>
      <c r="J17" s="6">
        <f>ROUND(SUM(J13:J16),5)</f>
        <v>0</v>
      </c>
      <c r="K17" s="7"/>
      <c r="L17" s="6">
        <f>ROUND(SUM(L13:L16),5)</f>
        <v>-176</v>
      </c>
      <c r="M17" s="7"/>
      <c r="N17" s="6">
        <f>ROUND(SUM(N13:N16),5)</f>
        <v>0</v>
      </c>
      <c r="O17" s="7"/>
      <c r="P17" s="6">
        <f>ROUND(SUM(P13:P16),5)</f>
        <v>3158.07</v>
      </c>
      <c r="Q17" s="7"/>
      <c r="R17" s="6">
        <f>ROUND(SUM(R13:R16),5)</f>
        <v>5470</v>
      </c>
      <c r="S17" s="7"/>
      <c r="T17" s="6">
        <f>ROUND(SUM(T13:T16),5)</f>
        <v>13609.76</v>
      </c>
      <c r="U17" s="7"/>
      <c r="V17" s="6">
        <f>ROUND(SUM(V13:V16),5)</f>
        <v>0</v>
      </c>
      <c r="W17" s="7"/>
      <c r="X17" s="6">
        <f>ROUND(SUM(X13:X16),5)</f>
        <v>0</v>
      </c>
      <c r="Y17" s="7"/>
      <c r="Z17" s="6">
        <f>ROUND(SUM(Z13:Z16),5)</f>
        <v>0</v>
      </c>
      <c r="AA17" s="7"/>
      <c r="AB17" s="6">
        <f>ROUND(SUM(AB13:AB16),5)</f>
        <v>0</v>
      </c>
      <c r="AC17" s="7"/>
      <c r="AD17" s="6">
        <f>ROUND(SUM(AD13:AD16),5)</f>
        <v>0</v>
      </c>
      <c r="AE17" s="7"/>
      <c r="AF17" s="6">
        <f t="shared" si="0"/>
        <v>23392.32</v>
      </c>
    </row>
    <row r="18" spans="1:33" outlineLevel="1" x14ac:dyDescent="0.35">
      <c r="A18" s="2"/>
      <c r="B18" s="2"/>
      <c r="C18" s="2"/>
      <c r="D18" s="2"/>
      <c r="E18" s="2" t="s">
        <v>26</v>
      </c>
      <c r="F18" s="2"/>
      <c r="G18" s="2"/>
      <c r="H18" s="6">
        <v>0</v>
      </c>
      <c r="I18" s="7"/>
      <c r="J18" s="6">
        <v>0</v>
      </c>
      <c r="K18" s="7"/>
      <c r="L18" s="6">
        <v>0</v>
      </c>
      <c r="M18" s="7"/>
      <c r="N18" s="6">
        <v>0</v>
      </c>
      <c r="O18" s="7"/>
      <c r="P18" s="6">
        <v>0</v>
      </c>
      <c r="Q18" s="7"/>
      <c r="R18" s="6">
        <v>0</v>
      </c>
      <c r="S18" s="7"/>
      <c r="T18" s="6">
        <v>0</v>
      </c>
      <c r="U18" s="7"/>
      <c r="V18" s="6">
        <v>0</v>
      </c>
      <c r="W18" s="7"/>
      <c r="X18" s="6">
        <v>0</v>
      </c>
      <c r="Y18" s="7"/>
      <c r="Z18" s="6">
        <v>0</v>
      </c>
      <c r="AA18" s="7"/>
      <c r="AB18" s="6">
        <v>0</v>
      </c>
      <c r="AC18" s="7"/>
      <c r="AD18" s="6">
        <v>0</v>
      </c>
      <c r="AE18" s="7"/>
      <c r="AF18" s="6">
        <f t="shared" si="0"/>
        <v>0</v>
      </c>
    </row>
    <row r="19" spans="1:33" ht="15" outlineLevel="1" thickBot="1" x14ac:dyDescent="0.4">
      <c r="A19" s="2"/>
      <c r="B19" s="2"/>
      <c r="C19" s="2"/>
      <c r="D19" s="2"/>
      <c r="E19" s="2" t="s">
        <v>30</v>
      </c>
      <c r="F19" s="2"/>
      <c r="G19" s="2"/>
      <c r="H19" s="6">
        <v>17.559999999999999</v>
      </c>
      <c r="I19" s="7"/>
      <c r="J19" s="6">
        <v>17.55</v>
      </c>
      <c r="K19" s="7"/>
      <c r="L19" s="6">
        <v>16.989999999999998</v>
      </c>
      <c r="M19" s="7"/>
      <c r="N19" s="6">
        <v>17.559999999999999</v>
      </c>
      <c r="O19" s="7"/>
      <c r="P19" s="6">
        <v>16.989999999999998</v>
      </c>
      <c r="Q19" s="7"/>
      <c r="R19" s="6">
        <v>17.559999999999999</v>
      </c>
      <c r="S19" s="7"/>
      <c r="T19" s="6">
        <v>17.559999999999999</v>
      </c>
      <c r="U19" s="7"/>
      <c r="V19" s="6">
        <v>15.86</v>
      </c>
      <c r="W19" s="7"/>
      <c r="X19" s="6">
        <v>17.57</v>
      </c>
      <c r="Y19" s="7"/>
      <c r="Z19" s="6">
        <v>17.559999999999999</v>
      </c>
      <c r="AA19" s="7"/>
      <c r="AB19" s="6">
        <v>15.86</v>
      </c>
      <c r="AC19" s="7"/>
      <c r="AD19" s="6">
        <v>17.57</v>
      </c>
      <c r="AE19" s="7"/>
      <c r="AF19" s="6">
        <f t="shared" si="0"/>
        <v>206.19</v>
      </c>
    </row>
    <row r="20" spans="1:33" ht="15" thickBot="1" x14ac:dyDescent="0.4">
      <c r="A20" s="2"/>
      <c r="B20" s="2"/>
      <c r="C20" s="2"/>
      <c r="D20" s="2" t="s">
        <v>31</v>
      </c>
      <c r="E20" s="2"/>
      <c r="F20" s="2"/>
      <c r="G20" s="2"/>
      <c r="H20" s="11">
        <f>ROUND(H3+H8+H12+SUM(H17:H19),5)</f>
        <v>8211.24</v>
      </c>
      <c r="I20" s="7"/>
      <c r="J20" s="11">
        <f>ROUND(J3+J8+J12+SUM(J17:J19),5)</f>
        <v>6844.16</v>
      </c>
      <c r="K20" s="7"/>
      <c r="L20" s="11">
        <f>ROUND(L3+L8+L12+SUM(L17:L19),5)</f>
        <v>6650.62</v>
      </c>
      <c r="M20" s="7"/>
      <c r="N20" s="11">
        <f>ROUND(N3+N8+N12+SUM(N17:N19),5)</f>
        <v>6814.85</v>
      </c>
      <c r="O20" s="7"/>
      <c r="P20" s="11">
        <f>ROUND(P3+P8+P12+SUM(P17:P19),5)</f>
        <v>9971.6200000000008</v>
      </c>
      <c r="Q20" s="7"/>
      <c r="R20" s="11">
        <f>ROUND(R3+R8+R12+SUM(R17:R19),5)</f>
        <v>12263.66</v>
      </c>
      <c r="S20" s="7"/>
      <c r="T20" s="11">
        <f>ROUND(T3+T8+T12+SUM(T17:T19),5)</f>
        <v>20397.740000000002</v>
      </c>
      <c r="U20" s="7"/>
      <c r="V20" s="11">
        <f>ROUND(V3+V8+V12+SUM(V17:V19),5)</f>
        <v>6771.4</v>
      </c>
      <c r="W20" s="7"/>
      <c r="X20" s="11">
        <f>ROUND(X3+X8+X12+SUM(X17:X19),5)</f>
        <v>6800.56</v>
      </c>
      <c r="Y20" s="7"/>
      <c r="Z20" s="11">
        <f>ROUND(Z3+Z8+Z12+SUM(Z17:Z19),5)</f>
        <v>6787.98</v>
      </c>
      <c r="AA20" s="7"/>
      <c r="AB20" s="11">
        <f>ROUND(AB3+AB8+AB12+SUM(AB17:AB19),5)</f>
        <v>6771.4</v>
      </c>
      <c r="AC20" s="7"/>
      <c r="AD20" s="11">
        <f>ROUND(AD3+AD8+AD12+SUM(AD17:AD19),5)</f>
        <v>6800.56</v>
      </c>
      <c r="AE20" s="7"/>
      <c r="AF20" s="11">
        <f t="shared" si="0"/>
        <v>105085.79</v>
      </c>
    </row>
    <row r="21" spans="1:33" x14ac:dyDescent="0.35">
      <c r="A21" s="2"/>
      <c r="B21" s="2"/>
      <c r="C21" s="2" t="s">
        <v>32</v>
      </c>
      <c r="D21" s="2"/>
      <c r="E21" s="2"/>
      <c r="F21" s="2"/>
      <c r="G21" s="2"/>
      <c r="H21" s="6">
        <f>H20</f>
        <v>8211.24</v>
      </c>
      <c r="I21" s="7"/>
      <c r="J21" s="6">
        <f>J20</f>
        <v>6844.16</v>
      </c>
      <c r="K21" s="7"/>
      <c r="L21" s="6">
        <f>L20</f>
        <v>6650.62</v>
      </c>
      <c r="M21" s="7"/>
      <c r="N21" s="6">
        <f>N20</f>
        <v>6814.85</v>
      </c>
      <c r="O21" s="7"/>
      <c r="P21" s="6">
        <f>P20</f>
        <v>9971.6200000000008</v>
      </c>
      <c r="Q21" s="7"/>
      <c r="R21" s="6">
        <f>R20</f>
        <v>12263.66</v>
      </c>
      <c r="S21" s="7"/>
      <c r="T21" s="6">
        <f>T20</f>
        <v>20397.740000000002</v>
      </c>
      <c r="U21" s="7"/>
      <c r="V21" s="6">
        <f>V20</f>
        <v>6771.4</v>
      </c>
      <c r="W21" s="7"/>
      <c r="X21" s="6">
        <f>X20</f>
        <v>6800.56</v>
      </c>
      <c r="Y21" s="7"/>
      <c r="Z21" s="6">
        <f>Z20</f>
        <v>6787.98</v>
      </c>
      <c r="AA21" s="7"/>
      <c r="AB21" s="6">
        <f>AB20</f>
        <v>6771.4</v>
      </c>
      <c r="AC21" s="7"/>
      <c r="AD21" s="6">
        <f>AD20</f>
        <v>6800.56</v>
      </c>
      <c r="AE21" s="7"/>
      <c r="AF21" s="6">
        <f t="shared" si="0"/>
        <v>105085.79</v>
      </c>
    </row>
    <row r="22" spans="1:33" outlineLevel="1" x14ac:dyDescent="0.35">
      <c r="A22" s="2"/>
      <c r="B22" s="2"/>
      <c r="C22" s="2"/>
      <c r="D22" s="2" t="s">
        <v>33</v>
      </c>
      <c r="E22" s="2"/>
      <c r="F22" s="2"/>
      <c r="G22" s="2"/>
      <c r="H22" s="6"/>
      <c r="I22" s="7"/>
      <c r="J22" s="6"/>
      <c r="K22" s="7"/>
      <c r="L22" s="6"/>
      <c r="M22" s="7"/>
      <c r="N22" s="6"/>
      <c r="O22" s="7"/>
      <c r="P22" s="6"/>
      <c r="Q22" s="7"/>
      <c r="R22" s="6"/>
      <c r="S22" s="7"/>
      <c r="T22" s="6"/>
      <c r="U22" s="7"/>
      <c r="V22" s="6"/>
      <c r="W22" s="7"/>
      <c r="X22" s="6"/>
      <c r="Y22" s="7"/>
      <c r="Z22" s="6"/>
      <c r="AA22" s="7"/>
      <c r="AB22" s="6"/>
      <c r="AC22" s="7"/>
      <c r="AD22" s="6"/>
      <c r="AE22" s="7"/>
      <c r="AF22" s="6"/>
    </row>
    <row r="23" spans="1:33" outlineLevel="2" x14ac:dyDescent="0.35">
      <c r="A23" s="2"/>
      <c r="B23" s="2"/>
      <c r="C23" s="2"/>
      <c r="D23" s="2"/>
      <c r="E23" s="2" t="s">
        <v>35</v>
      </c>
      <c r="F23" s="2"/>
      <c r="G23" s="2"/>
      <c r="H23" s="6"/>
      <c r="I23" s="7"/>
      <c r="J23" s="6"/>
      <c r="K23" s="7"/>
      <c r="L23" s="6"/>
      <c r="M23" s="7"/>
      <c r="N23" s="6"/>
      <c r="O23" s="7"/>
      <c r="P23" s="6"/>
      <c r="Q23" s="7"/>
      <c r="R23" s="6"/>
      <c r="S23" s="7"/>
      <c r="T23" s="6"/>
      <c r="U23" s="7"/>
      <c r="V23" s="6"/>
      <c r="W23" s="7"/>
      <c r="X23" s="6"/>
      <c r="Y23" s="7"/>
      <c r="Z23" s="6"/>
      <c r="AA23" s="7"/>
      <c r="AB23" s="6"/>
      <c r="AC23" s="7"/>
      <c r="AD23" s="6"/>
      <c r="AE23" s="7"/>
      <c r="AF23" s="6"/>
    </row>
    <row r="24" spans="1:33" outlineLevel="3" x14ac:dyDescent="0.35">
      <c r="A24" s="2"/>
      <c r="B24" s="2"/>
      <c r="C24" s="2"/>
      <c r="D24" s="2"/>
      <c r="E24" s="2"/>
      <c r="F24" s="2" t="s">
        <v>37</v>
      </c>
      <c r="G24" s="2"/>
      <c r="H24" s="6"/>
      <c r="I24" s="7"/>
      <c r="J24" s="6"/>
      <c r="K24" s="7"/>
      <c r="L24" s="6"/>
      <c r="M24" s="7"/>
      <c r="N24" s="6"/>
      <c r="O24" s="7"/>
      <c r="P24" s="6"/>
      <c r="Q24" s="7"/>
      <c r="R24" s="6"/>
      <c r="S24" s="7"/>
      <c r="T24" s="6"/>
      <c r="U24" s="7"/>
      <c r="V24" s="6"/>
      <c r="W24" s="7"/>
      <c r="X24" s="6"/>
      <c r="Y24" s="7"/>
      <c r="Z24" s="6"/>
      <c r="AA24" s="7"/>
      <c r="AB24" s="6"/>
      <c r="AC24" s="7"/>
      <c r="AD24" s="6"/>
      <c r="AE24" s="7"/>
      <c r="AF24" s="6"/>
    </row>
    <row r="25" spans="1:33" ht="15" outlineLevel="3" thickBot="1" x14ac:dyDescent="0.4">
      <c r="A25" s="2"/>
      <c r="B25" s="2"/>
      <c r="C25" s="2"/>
      <c r="D25" s="2"/>
      <c r="E25" s="2"/>
      <c r="F25" s="2"/>
      <c r="G25" s="2" t="s">
        <v>40</v>
      </c>
      <c r="H25" s="6">
        <v>1083.42</v>
      </c>
      <c r="I25" s="7"/>
      <c r="J25" s="6">
        <v>1116.69</v>
      </c>
      <c r="K25" s="7"/>
      <c r="L25" s="6">
        <v>4291.01</v>
      </c>
      <c r="M25" s="7"/>
      <c r="N25" s="6">
        <v>1108.43</v>
      </c>
      <c r="O25" s="7"/>
      <c r="P25" s="6">
        <v>1070.04</v>
      </c>
      <c r="Q25" s="7"/>
      <c r="R25" s="6">
        <v>1102.81</v>
      </c>
      <c r="S25" s="7"/>
      <c r="T25" s="6">
        <v>1100.06</v>
      </c>
      <c r="U25" s="7"/>
      <c r="V25" s="6">
        <v>991.1</v>
      </c>
      <c r="W25" s="7"/>
      <c r="X25" s="6">
        <v>1094.04</v>
      </c>
      <c r="Y25" s="7"/>
      <c r="Z25" s="6">
        <v>1100.06</v>
      </c>
      <c r="AA25" s="7"/>
      <c r="AB25" s="6">
        <v>991.1</v>
      </c>
      <c r="AC25" s="7"/>
      <c r="AD25" s="6">
        <v>1094.04</v>
      </c>
      <c r="AE25" s="7"/>
      <c r="AF25" s="6">
        <f>ROUND(SUM(H25:AD25),5)</f>
        <v>16142.8</v>
      </c>
    </row>
    <row r="26" spans="1:33" ht="15" outlineLevel="2" thickBot="1" x14ac:dyDescent="0.4">
      <c r="A26" s="2"/>
      <c r="B26" s="2"/>
      <c r="C26" s="2"/>
      <c r="D26" s="2"/>
      <c r="E26" s="2"/>
      <c r="F26" s="2" t="s">
        <v>41</v>
      </c>
      <c r="G26" s="2"/>
      <c r="H26" s="11">
        <f>ROUND(SUM(H24:H25),5)</f>
        <v>1083.42</v>
      </c>
      <c r="I26" s="7"/>
      <c r="J26" s="11">
        <f>ROUND(SUM(J24:J25),5)</f>
        <v>1116.69</v>
      </c>
      <c r="K26" s="7"/>
      <c r="L26" s="11">
        <f>ROUND(SUM(L24:L25),5)</f>
        <v>4291.01</v>
      </c>
      <c r="M26" s="7"/>
      <c r="N26" s="11">
        <f>ROUND(SUM(N24:N25),5)</f>
        <v>1108.43</v>
      </c>
      <c r="O26" s="7"/>
      <c r="P26" s="11">
        <f>ROUND(SUM(P24:P25),5)</f>
        <v>1070.04</v>
      </c>
      <c r="Q26" s="7"/>
      <c r="R26" s="11">
        <f>ROUND(SUM(R24:R25),5)</f>
        <v>1102.81</v>
      </c>
      <c r="S26" s="7"/>
      <c r="T26" s="11">
        <f>ROUND(SUM(T24:T25),5)</f>
        <v>1100.06</v>
      </c>
      <c r="U26" s="7"/>
      <c r="V26" s="11">
        <f>ROUND(SUM(V24:V25),5)</f>
        <v>991.1</v>
      </c>
      <c r="W26" s="7"/>
      <c r="X26" s="11">
        <f>ROUND(SUM(X24:X25),5)</f>
        <v>1094.04</v>
      </c>
      <c r="Y26" s="7"/>
      <c r="Z26" s="11">
        <f>ROUND(SUM(Z24:Z25),5)</f>
        <v>1100.06</v>
      </c>
      <c r="AA26" s="7"/>
      <c r="AB26" s="11">
        <f>ROUND(SUM(AB24:AB25),5)</f>
        <v>991.1</v>
      </c>
      <c r="AC26" s="7"/>
      <c r="AD26" s="11">
        <f>ROUND(SUM(AD24:AD25),5)</f>
        <v>1094.04</v>
      </c>
      <c r="AE26" s="7"/>
      <c r="AF26" s="11">
        <f>ROUND(SUM(H26:AD26),5)</f>
        <v>16142.8</v>
      </c>
    </row>
    <row r="27" spans="1:33" outlineLevel="1" x14ac:dyDescent="0.35">
      <c r="A27" s="2"/>
      <c r="B27" s="2"/>
      <c r="C27" s="2"/>
      <c r="D27" s="2"/>
      <c r="E27" s="2" t="s">
        <v>53</v>
      </c>
      <c r="F27" s="2"/>
      <c r="G27" s="2"/>
      <c r="H27" s="6">
        <f>ROUND(H23+H26,5)</f>
        <v>1083.42</v>
      </c>
      <c r="I27" s="7"/>
      <c r="J27" s="6">
        <f>ROUND(J23+J26,5)</f>
        <v>1116.69</v>
      </c>
      <c r="K27" s="7"/>
      <c r="L27" s="6">
        <f>ROUND(L23+L26,5)</f>
        <v>4291.01</v>
      </c>
      <c r="M27" s="7"/>
      <c r="N27" s="6">
        <f>ROUND(N23+N26,5)</f>
        <v>1108.43</v>
      </c>
      <c r="O27" s="7"/>
      <c r="P27" s="6">
        <f>ROUND(P23+P26,5)</f>
        <v>1070.04</v>
      </c>
      <c r="Q27" s="7"/>
      <c r="R27" s="6">
        <f>ROUND(R23+R26,5)</f>
        <v>1102.81</v>
      </c>
      <c r="S27" s="7"/>
      <c r="T27" s="6">
        <f>ROUND(T23+T26,5)</f>
        <v>1100.06</v>
      </c>
      <c r="U27" s="7"/>
      <c r="V27" s="6">
        <f>ROUND(V23+V26,5)</f>
        <v>991.1</v>
      </c>
      <c r="W27" s="7"/>
      <c r="X27" s="6">
        <f>ROUND(X23+X26,5)</f>
        <v>1094.04</v>
      </c>
      <c r="Y27" s="7"/>
      <c r="Z27" s="6">
        <f>ROUND(Z23+Z26,5)</f>
        <v>1100.06</v>
      </c>
      <c r="AA27" s="7"/>
      <c r="AB27" s="6">
        <f>ROUND(AB23+AB26,5)</f>
        <v>991.1</v>
      </c>
      <c r="AC27" s="7"/>
      <c r="AD27" s="6">
        <f>ROUND(AD23+AD26,5)</f>
        <v>1094.04</v>
      </c>
      <c r="AE27" s="7"/>
      <c r="AF27" s="6">
        <f>ROUND(SUM(H27:AD27),5)</f>
        <v>16142.8</v>
      </c>
    </row>
    <row r="28" spans="1:33" outlineLevel="1" x14ac:dyDescent="0.35">
      <c r="A28" s="2"/>
      <c r="B28" s="2"/>
      <c r="C28" s="2"/>
      <c r="D28" s="2"/>
      <c r="E28" s="2" t="s">
        <v>76</v>
      </c>
      <c r="F28" s="2"/>
      <c r="G28" s="2"/>
      <c r="H28" s="6">
        <v>627.77</v>
      </c>
      <c r="I28" s="7"/>
      <c r="J28" s="6">
        <v>594.5</v>
      </c>
      <c r="K28" s="7"/>
      <c r="L28" s="6">
        <v>29253.51</v>
      </c>
      <c r="M28" s="7"/>
      <c r="N28" s="6">
        <v>602.76</v>
      </c>
      <c r="O28" s="7"/>
      <c r="P28" s="6">
        <v>641.15</v>
      </c>
      <c r="Q28" s="7"/>
      <c r="R28" s="6">
        <v>608.38</v>
      </c>
      <c r="S28" s="7"/>
      <c r="T28" s="6">
        <v>611.13</v>
      </c>
      <c r="U28" s="7"/>
      <c r="V28" s="6">
        <v>720.09</v>
      </c>
      <c r="W28" s="7"/>
      <c r="X28" s="6">
        <v>740</v>
      </c>
      <c r="Y28" s="7"/>
      <c r="Z28" s="6">
        <v>760</v>
      </c>
      <c r="AA28" s="7"/>
      <c r="AB28" s="6">
        <v>780</v>
      </c>
      <c r="AC28" s="7"/>
      <c r="AD28" s="6">
        <v>800</v>
      </c>
      <c r="AE28" s="7"/>
      <c r="AF28" s="6">
        <f>ROUND(SUM(H28:AD28),5)</f>
        <v>36739.29</v>
      </c>
    </row>
    <row r="29" spans="1:33" outlineLevel="2" x14ac:dyDescent="0.35">
      <c r="A29" s="2"/>
      <c r="B29" s="2"/>
      <c r="C29" s="2"/>
      <c r="D29" s="2"/>
      <c r="E29" s="2" t="s">
        <v>77</v>
      </c>
      <c r="F29" s="2"/>
      <c r="G29" s="2"/>
      <c r="H29" s="6"/>
      <c r="I29" s="7"/>
      <c r="J29" s="6"/>
      <c r="K29" s="7"/>
      <c r="L29" s="6"/>
      <c r="M29" s="7"/>
      <c r="N29" s="6"/>
      <c r="O29" s="7"/>
      <c r="P29" s="6"/>
      <c r="Q29" s="7"/>
      <c r="R29" s="6"/>
      <c r="S29" s="7"/>
      <c r="T29" s="6"/>
      <c r="U29" s="7"/>
      <c r="V29" s="6"/>
      <c r="W29" s="7"/>
      <c r="X29" s="6"/>
      <c r="Y29" s="7"/>
      <c r="Z29" s="6"/>
      <c r="AA29" s="7"/>
      <c r="AB29" s="6"/>
      <c r="AC29" s="7"/>
      <c r="AD29" s="6"/>
      <c r="AE29" s="7"/>
      <c r="AF29" s="6"/>
    </row>
    <row r="30" spans="1:33" outlineLevel="3" x14ac:dyDescent="0.35">
      <c r="A30" s="2"/>
      <c r="B30" s="2"/>
      <c r="C30" s="2"/>
      <c r="D30" s="2"/>
      <c r="E30" s="2"/>
      <c r="F30" s="2" t="s">
        <v>78</v>
      </c>
      <c r="G30" s="2"/>
      <c r="H30" s="6"/>
      <c r="I30" s="7"/>
      <c r="J30" s="6"/>
      <c r="K30" s="7"/>
      <c r="L30" s="6"/>
      <c r="M30" s="7"/>
      <c r="N30" s="6"/>
      <c r="O30" s="7"/>
      <c r="P30" s="6"/>
      <c r="Q30" s="7"/>
      <c r="R30" s="6"/>
      <c r="S30" s="7"/>
      <c r="T30" s="6"/>
      <c r="U30" s="7"/>
      <c r="V30" s="6"/>
      <c r="W30" s="7"/>
      <c r="X30" s="6"/>
      <c r="Y30" s="7"/>
      <c r="Z30" s="6"/>
      <c r="AA30" s="7"/>
      <c r="AB30" s="6"/>
      <c r="AC30" s="7"/>
      <c r="AD30" s="6"/>
      <c r="AE30" s="7"/>
      <c r="AF30" s="6" t="s">
        <v>191</v>
      </c>
      <c r="AG30" t="s">
        <v>190</v>
      </c>
    </row>
    <row r="31" spans="1:33" ht="15" outlineLevel="3" thickBot="1" x14ac:dyDescent="0.4">
      <c r="A31" s="2"/>
      <c r="B31" s="2"/>
      <c r="C31" s="2"/>
      <c r="D31" s="2"/>
      <c r="E31" s="2"/>
      <c r="F31" s="2"/>
      <c r="G31" s="2" t="s">
        <v>176</v>
      </c>
      <c r="H31" s="9">
        <v>0</v>
      </c>
      <c r="I31" s="7"/>
      <c r="J31" s="9">
        <v>253.99</v>
      </c>
      <c r="K31" s="7"/>
      <c r="L31" s="9">
        <v>0</v>
      </c>
      <c r="M31" s="7"/>
      <c r="N31" s="9">
        <v>0</v>
      </c>
      <c r="O31" s="7"/>
      <c r="P31" s="9">
        <v>0</v>
      </c>
      <c r="Q31" s="7"/>
      <c r="R31" s="9">
        <v>0</v>
      </c>
      <c r="S31" s="7"/>
      <c r="T31" s="9">
        <v>0</v>
      </c>
      <c r="U31" s="7"/>
      <c r="V31" s="9">
        <v>0</v>
      </c>
      <c r="W31" s="7"/>
      <c r="X31" s="9">
        <v>0</v>
      </c>
      <c r="Y31" s="7"/>
      <c r="Z31" s="9">
        <v>0</v>
      </c>
      <c r="AA31" s="7"/>
      <c r="AB31" s="9">
        <v>0</v>
      </c>
      <c r="AC31" s="7"/>
      <c r="AD31" s="9">
        <v>0</v>
      </c>
      <c r="AE31" s="7"/>
      <c r="AF31" s="9">
        <v>0</v>
      </c>
      <c r="AG31" s="9">
        <f>ROUND(SUM(I31:AE31),5)</f>
        <v>253.99</v>
      </c>
    </row>
    <row r="32" spans="1:33" outlineLevel="2" x14ac:dyDescent="0.35">
      <c r="A32" s="2"/>
      <c r="B32" s="2"/>
      <c r="C32" s="2"/>
      <c r="D32" s="2"/>
      <c r="E32" s="2"/>
      <c r="F32" s="2" t="s">
        <v>177</v>
      </c>
      <c r="G32" s="2"/>
      <c r="H32" s="6">
        <f>ROUND(SUM(H30:H31),5)</f>
        <v>0</v>
      </c>
      <c r="I32" s="7"/>
      <c r="J32" s="6">
        <f>ROUND(SUM(J30:J31),5)</f>
        <v>253.99</v>
      </c>
      <c r="K32" s="7"/>
      <c r="L32" s="6">
        <f>ROUND(SUM(L30:L31),5)</f>
        <v>0</v>
      </c>
      <c r="M32" s="7"/>
      <c r="N32" s="6">
        <f>ROUND(SUM(N30:N31),5)</f>
        <v>0</v>
      </c>
      <c r="O32" s="7"/>
      <c r="P32" s="6">
        <f>ROUND(SUM(P30:P31),5)</f>
        <v>0</v>
      </c>
      <c r="Q32" s="7"/>
      <c r="R32" s="6">
        <f>ROUND(SUM(R30:R31),5)</f>
        <v>0</v>
      </c>
      <c r="S32" s="7"/>
      <c r="T32" s="6">
        <f>ROUND(SUM(T30:T31),5)</f>
        <v>0</v>
      </c>
      <c r="U32" s="7"/>
      <c r="V32" s="6">
        <f>ROUND(SUM(V30:V31),5)</f>
        <v>0</v>
      </c>
      <c r="W32" s="7"/>
      <c r="X32" s="6">
        <f>ROUND(SUM(X30:X31),5)</f>
        <v>0</v>
      </c>
      <c r="Y32" s="7"/>
      <c r="Z32" s="6">
        <f>ROUND(SUM(Z30:Z31),5)</f>
        <v>0</v>
      </c>
      <c r="AA32" s="7"/>
      <c r="AB32" s="6">
        <f>ROUND(SUM(AB30:AB31),5)</f>
        <v>0</v>
      </c>
      <c r="AC32" s="7"/>
      <c r="AD32" s="6">
        <f>ROUND(SUM(AD30:AD31),5)</f>
        <v>0</v>
      </c>
      <c r="AE32" s="7"/>
      <c r="AF32" s="6">
        <v>0</v>
      </c>
      <c r="AG32" s="6">
        <f>ROUND(SUM(I32:AE32),5)</f>
        <v>253.99</v>
      </c>
    </row>
    <row r="33" spans="1:33" outlineLevel="3" x14ac:dyDescent="0.35">
      <c r="A33" s="2"/>
      <c r="B33" s="2"/>
      <c r="C33" s="2"/>
      <c r="D33" s="2"/>
      <c r="E33" s="2"/>
      <c r="F33" s="2" t="s">
        <v>79</v>
      </c>
      <c r="G33" s="2"/>
      <c r="H33" s="6"/>
      <c r="I33" s="7"/>
      <c r="J33" s="6"/>
      <c r="K33" s="7"/>
      <c r="L33" s="6"/>
      <c r="M33" s="7"/>
      <c r="N33" s="6"/>
      <c r="O33" s="7"/>
      <c r="P33" s="6"/>
      <c r="Q33" s="7"/>
      <c r="R33" s="6"/>
      <c r="S33" s="7"/>
      <c r="T33" s="6"/>
      <c r="U33" s="7"/>
      <c r="V33" s="6"/>
      <c r="W33" s="7"/>
      <c r="X33" s="6"/>
      <c r="Y33" s="7"/>
      <c r="Z33" s="6"/>
      <c r="AA33" s="7"/>
      <c r="AB33" s="6"/>
      <c r="AC33" s="7"/>
      <c r="AD33" s="6"/>
      <c r="AE33" s="7"/>
      <c r="AF33" s="6"/>
      <c r="AG33" s="6"/>
    </row>
    <row r="34" spans="1:33" outlineLevel="3" x14ac:dyDescent="0.35">
      <c r="A34" s="2"/>
      <c r="B34" s="2"/>
      <c r="C34" s="2"/>
      <c r="D34" s="2"/>
      <c r="E34" s="2"/>
      <c r="F34" s="2"/>
      <c r="G34" s="2" t="s">
        <v>178</v>
      </c>
      <c r="H34" s="6">
        <v>2798.25</v>
      </c>
      <c r="I34" s="7"/>
      <c r="J34" s="6">
        <v>333.13</v>
      </c>
      <c r="K34" s="7"/>
      <c r="L34" s="6">
        <v>466.38</v>
      </c>
      <c r="M34" s="7"/>
      <c r="N34" s="6">
        <v>772.34</v>
      </c>
      <c r="O34" s="7"/>
      <c r="P34" s="6">
        <v>0</v>
      </c>
      <c r="Q34" s="7"/>
      <c r="R34" s="6">
        <v>0</v>
      </c>
      <c r="S34" s="7"/>
      <c r="T34" s="6">
        <v>0</v>
      </c>
      <c r="U34" s="7"/>
      <c r="V34" s="6">
        <v>0</v>
      </c>
      <c r="W34" s="7"/>
      <c r="X34" s="6">
        <v>0</v>
      </c>
      <c r="Y34" s="7"/>
      <c r="Z34" s="6">
        <v>0</v>
      </c>
      <c r="AA34" s="7"/>
      <c r="AB34" s="6">
        <v>0</v>
      </c>
      <c r="AC34" s="7"/>
      <c r="AD34" s="6">
        <v>0</v>
      </c>
      <c r="AE34" s="7"/>
      <c r="AF34" s="6">
        <f>ROUND(SUM(H34:AD34),5)</f>
        <v>4370.1000000000004</v>
      </c>
      <c r="AG34" s="6">
        <v>0</v>
      </c>
    </row>
    <row r="35" spans="1:33" ht="15" outlineLevel="3" thickBot="1" x14ac:dyDescent="0.4">
      <c r="A35" s="2"/>
      <c r="B35" s="2"/>
      <c r="C35" s="2"/>
      <c r="D35" s="2"/>
      <c r="E35" s="2"/>
      <c r="F35" s="2"/>
      <c r="G35" s="2" t="s">
        <v>179</v>
      </c>
      <c r="H35" s="9">
        <v>46.45</v>
      </c>
      <c r="I35" s="7"/>
      <c r="J35" s="9">
        <v>0</v>
      </c>
      <c r="K35" s="7"/>
      <c r="L35" s="9">
        <v>16362.07</v>
      </c>
      <c r="M35" s="7"/>
      <c r="N35" s="9">
        <v>85.81</v>
      </c>
      <c r="O35" s="7"/>
      <c r="P35" s="9">
        <v>0</v>
      </c>
      <c r="Q35" s="7"/>
      <c r="R35" s="9">
        <v>0</v>
      </c>
      <c r="S35" s="7"/>
      <c r="T35" s="9">
        <v>0</v>
      </c>
      <c r="U35" s="7"/>
      <c r="V35" s="9">
        <v>0</v>
      </c>
      <c r="W35" s="7"/>
      <c r="X35" s="9">
        <v>0</v>
      </c>
      <c r="Y35" s="7"/>
      <c r="Z35" s="9">
        <v>0</v>
      </c>
      <c r="AA35" s="7"/>
      <c r="AB35" s="9">
        <v>0</v>
      </c>
      <c r="AC35" s="7"/>
      <c r="AD35" s="9">
        <v>0</v>
      </c>
      <c r="AE35" s="7"/>
      <c r="AF35" s="9">
        <f>ROUND(SUM(H35:AD35),5)</f>
        <v>16494.330000000002</v>
      </c>
      <c r="AG35" s="9">
        <v>0</v>
      </c>
    </row>
    <row r="36" spans="1:33" outlineLevel="2" x14ac:dyDescent="0.35">
      <c r="A36" s="2"/>
      <c r="B36" s="2"/>
      <c r="C36" s="2"/>
      <c r="D36" s="2"/>
      <c r="E36" s="2"/>
      <c r="F36" s="2" t="s">
        <v>180</v>
      </c>
      <c r="G36" s="2"/>
      <c r="H36" s="6">
        <f>ROUND(SUM(H33:H35),5)</f>
        <v>2844.7</v>
      </c>
      <c r="I36" s="7"/>
      <c r="J36" s="6">
        <f>ROUND(SUM(J33:J35),5)</f>
        <v>333.13</v>
      </c>
      <c r="K36" s="7"/>
      <c r="L36" s="6">
        <f>ROUND(SUM(L33:L35),5)</f>
        <v>16828.45</v>
      </c>
      <c r="M36" s="7"/>
      <c r="N36" s="6">
        <f>ROUND(SUM(N33:N35),5)</f>
        <v>858.15</v>
      </c>
      <c r="O36" s="7"/>
      <c r="P36" s="6">
        <f>ROUND(SUM(P33:P35),5)</f>
        <v>0</v>
      </c>
      <c r="Q36" s="7"/>
      <c r="R36" s="6">
        <f>ROUND(SUM(R33:R35),5)</f>
        <v>0</v>
      </c>
      <c r="S36" s="7"/>
      <c r="T36" s="6">
        <f>ROUND(SUM(T33:T35),5)</f>
        <v>0</v>
      </c>
      <c r="U36" s="7"/>
      <c r="V36" s="6">
        <f>ROUND(SUM(V33:V35),5)</f>
        <v>0</v>
      </c>
      <c r="W36" s="7"/>
      <c r="X36" s="6">
        <f>ROUND(SUM(X33:X35),5)</f>
        <v>0</v>
      </c>
      <c r="Y36" s="7"/>
      <c r="Z36" s="6">
        <f>ROUND(SUM(Z33:Z35),5)</f>
        <v>0</v>
      </c>
      <c r="AA36" s="7"/>
      <c r="AB36" s="6">
        <f>ROUND(SUM(AB33:AB35),5)</f>
        <v>0</v>
      </c>
      <c r="AC36" s="7"/>
      <c r="AD36" s="6">
        <f>ROUND(SUM(AD33:AD35),5)</f>
        <v>0</v>
      </c>
      <c r="AE36" s="7"/>
      <c r="AF36" s="6">
        <f>ROUND(SUM(H36:AD36),5)</f>
        <v>20864.43</v>
      </c>
      <c r="AG36" s="6">
        <v>0</v>
      </c>
    </row>
    <row r="37" spans="1:33" outlineLevel="3" x14ac:dyDescent="0.35">
      <c r="A37" s="2"/>
      <c r="B37" s="2"/>
      <c r="C37" s="2"/>
      <c r="D37" s="2"/>
      <c r="E37" s="2"/>
      <c r="F37" s="2" t="s">
        <v>80</v>
      </c>
      <c r="G37" s="2"/>
      <c r="H37" s="6"/>
      <c r="I37" s="7"/>
      <c r="J37" s="6"/>
      <c r="K37" s="7"/>
      <c r="L37" s="6"/>
      <c r="M37" s="7"/>
      <c r="N37" s="6"/>
      <c r="O37" s="7"/>
      <c r="P37" s="6"/>
      <c r="Q37" s="7"/>
      <c r="R37" s="6"/>
      <c r="S37" s="7"/>
      <c r="T37" s="6"/>
      <c r="U37" s="7"/>
      <c r="V37" s="6"/>
      <c r="W37" s="7"/>
      <c r="X37" s="6"/>
      <c r="Y37" s="7"/>
      <c r="Z37" s="6"/>
      <c r="AA37" s="7"/>
      <c r="AB37" s="6"/>
      <c r="AC37" s="7"/>
      <c r="AD37" s="6"/>
      <c r="AE37" s="7"/>
      <c r="AF37" s="6"/>
      <c r="AG37" s="6"/>
    </row>
    <row r="38" spans="1:33" ht="15" outlineLevel="3" thickBot="1" x14ac:dyDescent="0.4">
      <c r="A38" s="2"/>
      <c r="B38" s="2"/>
      <c r="C38" s="2"/>
      <c r="D38" s="2"/>
      <c r="E38" s="2"/>
      <c r="F38" s="2"/>
      <c r="G38" s="2" t="s">
        <v>181</v>
      </c>
      <c r="H38" s="6">
        <v>0</v>
      </c>
      <c r="I38" s="7"/>
      <c r="J38" s="6">
        <v>0</v>
      </c>
      <c r="K38" s="7"/>
      <c r="L38" s="6">
        <v>3675.45</v>
      </c>
      <c r="M38" s="7"/>
      <c r="N38" s="6">
        <v>0</v>
      </c>
      <c r="O38" s="7"/>
      <c r="P38" s="6">
        <v>0</v>
      </c>
      <c r="Q38" s="7"/>
      <c r="R38" s="6">
        <v>0</v>
      </c>
      <c r="S38" s="7"/>
      <c r="T38" s="6">
        <v>0</v>
      </c>
      <c r="U38" s="7"/>
      <c r="V38" s="6">
        <v>0</v>
      </c>
      <c r="W38" s="7"/>
      <c r="X38" s="6">
        <v>0</v>
      </c>
      <c r="Y38" s="7"/>
      <c r="Z38" s="6">
        <v>0</v>
      </c>
      <c r="AA38" s="7"/>
      <c r="AB38" s="6">
        <v>0</v>
      </c>
      <c r="AC38" s="7"/>
      <c r="AD38" s="6">
        <v>0</v>
      </c>
      <c r="AE38" s="7"/>
      <c r="AF38" s="6">
        <f>ROUND(SUM(H38:AD38),5)</f>
        <v>3675.45</v>
      </c>
      <c r="AG38" s="6">
        <v>0</v>
      </c>
    </row>
    <row r="39" spans="1:33" ht="15" outlineLevel="2" thickBot="1" x14ac:dyDescent="0.4">
      <c r="A39" s="2"/>
      <c r="B39" s="2"/>
      <c r="C39" s="2"/>
      <c r="D39" s="2"/>
      <c r="E39" s="2"/>
      <c r="F39" s="2" t="s">
        <v>182</v>
      </c>
      <c r="G39" s="2"/>
      <c r="H39" s="11">
        <f>ROUND(SUM(H37:H38),5)</f>
        <v>0</v>
      </c>
      <c r="I39" s="7"/>
      <c r="J39" s="11">
        <f>ROUND(SUM(J37:J38),5)</f>
        <v>0</v>
      </c>
      <c r="K39" s="7"/>
      <c r="L39" s="11">
        <f>ROUND(SUM(L37:L38),5)</f>
        <v>3675.45</v>
      </c>
      <c r="M39" s="7"/>
      <c r="N39" s="11">
        <f>ROUND(SUM(N37:N38),5)</f>
        <v>0</v>
      </c>
      <c r="O39" s="7"/>
      <c r="P39" s="11">
        <f>ROUND(SUM(P37:P38),5)</f>
        <v>0</v>
      </c>
      <c r="Q39" s="7"/>
      <c r="R39" s="11">
        <f>ROUND(SUM(R37:R38),5)</f>
        <v>0</v>
      </c>
      <c r="S39" s="7"/>
      <c r="T39" s="11">
        <f>ROUND(SUM(T37:T38),5)</f>
        <v>0</v>
      </c>
      <c r="U39" s="7"/>
      <c r="V39" s="11">
        <f>ROUND(SUM(V37:V38),5)</f>
        <v>0</v>
      </c>
      <c r="W39" s="7"/>
      <c r="X39" s="11">
        <f>ROUND(SUM(X37:X38),5)</f>
        <v>0</v>
      </c>
      <c r="Y39" s="7"/>
      <c r="Z39" s="11">
        <f>ROUND(SUM(Z37:Z38),5)</f>
        <v>0</v>
      </c>
      <c r="AA39" s="7"/>
      <c r="AB39" s="11">
        <f>ROUND(SUM(AB37:AB38),5)</f>
        <v>0</v>
      </c>
      <c r="AC39" s="7"/>
      <c r="AD39" s="11">
        <f>ROUND(SUM(AD37:AD38),5)</f>
        <v>0</v>
      </c>
      <c r="AE39" s="7"/>
      <c r="AF39" s="11">
        <f>ROUND(SUM(H39:AD39),5)</f>
        <v>3675.45</v>
      </c>
      <c r="AG39" s="11">
        <v>0</v>
      </c>
    </row>
    <row r="40" spans="1:33" outlineLevel="2" x14ac:dyDescent="0.35">
      <c r="A40" s="2"/>
      <c r="B40" s="2"/>
      <c r="C40" s="2"/>
      <c r="D40" s="2"/>
      <c r="E40" s="2"/>
      <c r="F40" s="2" t="s">
        <v>188</v>
      </c>
      <c r="G40" s="2"/>
      <c r="H40" s="6"/>
      <c r="I40" s="7"/>
      <c r="J40" s="6"/>
      <c r="K40" s="7"/>
      <c r="L40" s="6"/>
      <c r="M40" s="7"/>
      <c r="N40" s="6"/>
      <c r="O40" s="7"/>
      <c r="P40" s="6"/>
      <c r="Q40" s="7"/>
      <c r="R40" s="6"/>
      <c r="S40" s="7"/>
      <c r="T40" s="6"/>
      <c r="U40" s="7"/>
      <c r="V40" s="6"/>
      <c r="W40" s="7"/>
      <c r="X40" s="6"/>
      <c r="Y40" s="7"/>
      <c r="Z40" s="6"/>
      <c r="AA40" s="7"/>
      <c r="AB40" s="6"/>
      <c r="AC40" s="7"/>
      <c r="AD40" s="6"/>
      <c r="AE40" s="7"/>
      <c r="AF40" s="6">
        <v>0</v>
      </c>
      <c r="AG40" s="6">
        <v>0</v>
      </c>
    </row>
    <row r="41" spans="1:33" outlineLevel="2" x14ac:dyDescent="0.35">
      <c r="A41" s="2"/>
      <c r="B41" s="2"/>
      <c r="C41" s="2"/>
      <c r="D41" s="2"/>
      <c r="E41" s="2"/>
      <c r="F41" s="2" t="s">
        <v>189</v>
      </c>
      <c r="G41" s="2"/>
      <c r="H41" s="6"/>
      <c r="I41" s="7"/>
      <c r="J41" s="6"/>
      <c r="K41" s="7"/>
      <c r="L41" s="6"/>
      <c r="M41" s="7"/>
      <c r="N41" s="6"/>
      <c r="O41" s="7"/>
      <c r="P41" s="6"/>
      <c r="Q41" s="7"/>
      <c r="R41" s="6"/>
      <c r="S41" s="7"/>
      <c r="T41" s="6"/>
      <c r="U41" s="7"/>
      <c r="V41" s="6"/>
      <c r="W41" s="7"/>
      <c r="X41" s="6"/>
      <c r="Y41" s="7"/>
      <c r="Z41" s="6"/>
      <c r="AA41" s="7"/>
      <c r="AB41" s="6"/>
      <c r="AC41" s="7"/>
      <c r="AD41" s="6"/>
      <c r="AE41" s="7"/>
      <c r="AF41" s="6"/>
      <c r="AG41" s="6">
        <v>0</v>
      </c>
    </row>
    <row r="42" spans="1:33" outlineLevel="1" x14ac:dyDescent="0.35">
      <c r="A42" s="2"/>
      <c r="B42" s="2"/>
      <c r="C42" s="2"/>
      <c r="D42" s="2"/>
      <c r="E42" s="2" t="s">
        <v>82</v>
      </c>
      <c r="F42" s="2"/>
      <c r="G42" s="2"/>
      <c r="H42" s="6">
        <f>ROUND(H29+H32+H36+H39,5)+H40+H41</f>
        <v>2844.7</v>
      </c>
      <c r="I42" s="7"/>
      <c r="J42" s="6">
        <f>ROUND(J29+J32+J36+J39,5)</f>
        <v>587.12</v>
      </c>
      <c r="K42" s="7"/>
      <c r="L42" s="6">
        <f>ROUND(L29+L32+L36+L39,5)</f>
        <v>20503.900000000001</v>
      </c>
      <c r="M42" s="7"/>
      <c r="N42" s="6">
        <f>ROUND(N29+N32+N36+N39,5)</f>
        <v>858.15</v>
      </c>
      <c r="O42" s="7"/>
      <c r="P42" s="6">
        <f>ROUND(P29+P32+P36+P39,5)</f>
        <v>0</v>
      </c>
      <c r="Q42" s="7"/>
      <c r="R42" s="6">
        <f>ROUND(R29+R32+R36+R39,5)</f>
        <v>0</v>
      </c>
      <c r="S42" s="7"/>
      <c r="T42" s="6">
        <f>ROUND(T29+T32+T36+T39,5)</f>
        <v>0</v>
      </c>
      <c r="U42" s="7"/>
      <c r="V42" s="6">
        <f>ROUND(V29+V32+V36+V39,5)</f>
        <v>0</v>
      </c>
      <c r="W42" s="7"/>
      <c r="X42" s="6">
        <f>ROUND(X29+X32+X36+X39,5)</f>
        <v>0</v>
      </c>
      <c r="Y42" s="7"/>
      <c r="Z42" s="6">
        <f>ROUND(Z29+Z32+Z36+Z39,5)</f>
        <v>0</v>
      </c>
      <c r="AA42" s="7"/>
      <c r="AB42" s="6">
        <f>ROUND(AB29+AB32+AB36+AB39,5)</f>
        <v>0</v>
      </c>
      <c r="AC42" s="7"/>
      <c r="AD42" s="6">
        <f>ROUND(AD29+AD32+AD36+AD39,5)</f>
        <v>0</v>
      </c>
      <c r="AE42" s="7"/>
      <c r="AF42" s="6">
        <f>AF32+AF36+AF39+AF40+AF41</f>
        <v>24539.88</v>
      </c>
      <c r="AG42" s="6">
        <f>AG32+AG36+AG39+AG40+AG41</f>
        <v>253.99</v>
      </c>
    </row>
    <row r="43" spans="1:33" ht="15" outlineLevel="1" thickBot="1" x14ac:dyDescent="0.4">
      <c r="A43" s="2"/>
      <c r="B43" s="2"/>
      <c r="C43" s="2"/>
      <c r="D43" s="2"/>
      <c r="E43" s="2" t="s">
        <v>83</v>
      </c>
      <c r="F43" s="2"/>
      <c r="G43" s="2"/>
      <c r="H43" s="6">
        <v>752</v>
      </c>
      <c r="I43" s="7"/>
      <c r="J43" s="6">
        <v>0</v>
      </c>
      <c r="K43" s="7"/>
      <c r="L43" s="6">
        <v>2578.83</v>
      </c>
      <c r="M43" s="7"/>
      <c r="N43" s="6">
        <v>6076.76</v>
      </c>
      <c r="O43" s="7"/>
      <c r="P43" s="6">
        <v>144.93</v>
      </c>
      <c r="Q43" s="7"/>
      <c r="R43" s="6">
        <v>6739.51</v>
      </c>
      <c r="S43" s="7"/>
      <c r="T43" s="6">
        <v>0</v>
      </c>
      <c r="U43" s="7"/>
      <c r="V43" s="6">
        <v>0</v>
      </c>
      <c r="W43" s="7"/>
      <c r="X43" s="6">
        <v>0</v>
      </c>
      <c r="Y43" s="7"/>
      <c r="Z43" s="6">
        <v>0</v>
      </c>
      <c r="AA43" s="7"/>
      <c r="AB43" s="6">
        <v>0</v>
      </c>
      <c r="AC43" s="7"/>
      <c r="AD43" s="6">
        <v>0</v>
      </c>
      <c r="AE43" s="7"/>
      <c r="AF43" s="6">
        <f>ROUND(SUM(H43:AD43),5)</f>
        <v>16292.03</v>
      </c>
      <c r="AG43" s="6">
        <v>0</v>
      </c>
    </row>
    <row r="44" spans="1:33" ht="15" thickBot="1" x14ac:dyDescent="0.4">
      <c r="A44" s="2"/>
      <c r="B44" s="2"/>
      <c r="C44" s="2"/>
      <c r="D44" s="2" t="s">
        <v>85</v>
      </c>
      <c r="E44" s="2"/>
      <c r="F44" s="2"/>
      <c r="G44" s="2"/>
      <c r="H44" s="11">
        <f>ROUND(H22+SUM(H27:H28)+SUM(H42:H43),5)</f>
        <v>5307.89</v>
      </c>
      <c r="I44" s="7"/>
      <c r="J44" s="11">
        <f>ROUND(J22+SUM(J27:J28)+SUM(J42:J43),5)</f>
        <v>2298.31</v>
      </c>
      <c r="K44" s="7"/>
      <c r="L44" s="11">
        <f>ROUND(L22+SUM(L27:L28)+SUM(L42:L43),5)</f>
        <v>56627.25</v>
      </c>
      <c r="M44" s="7"/>
      <c r="N44" s="11">
        <f>ROUND(N22+SUM(N27:N28)+SUM(N42:N43),5)</f>
        <v>8646.1</v>
      </c>
      <c r="O44" s="7"/>
      <c r="P44" s="11">
        <f>ROUND(P22+SUM(P27:P28)+SUM(P42:P43),5)</f>
        <v>1856.12</v>
      </c>
      <c r="Q44" s="7"/>
      <c r="R44" s="11">
        <f>ROUND(R22+SUM(R27:R28)+SUM(R42:R43),5)</f>
        <v>8450.7000000000007</v>
      </c>
      <c r="S44" s="7"/>
      <c r="T44" s="11">
        <f>ROUND(T22+SUM(T27:T28)+SUM(T42:T43),5)</f>
        <v>1711.19</v>
      </c>
      <c r="U44" s="7"/>
      <c r="V44" s="11">
        <f>ROUND(V22+SUM(V27:V28)+SUM(V42:V43),5)</f>
        <v>1711.19</v>
      </c>
      <c r="W44" s="7"/>
      <c r="X44" s="11">
        <f>ROUND(X22+SUM(X27:X28)+SUM(X42:X43),5)</f>
        <v>1834.04</v>
      </c>
      <c r="Y44" s="7"/>
      <c r="Z44" s="11">
        <f>ROUND(Z22+SUM(Z27:Z28)+SUM(Z42:Z43),5)</f>
        <v>1860.06</v>
      </c>
      <c r="AA44" s="7"/>
      <c r="AB44" s="11">
        <f>ROUND(AB22+SUM(AB27:AB28)+SUM(AB42:AB43),5)</f>
        <v>1771.1</v>
      </c>
      <c r="AC44" s="7"/>
      <c r="AD44" s="11">
        <f>ROUND(AD22+SUM(AD27:AD28)+SUM(AD42:AD43),5)</f>
        <v>1894.04</v>
      </c>
      <c r="AE44" s="7"/>
      <c r="AF44" s="11">
        <f>ROUND(AF22+SUM(AF27:AF28)+SUM(AF42:AF43),5)</f>
        <v>93714</v>
      </c>
      <c r="AG44" s="11">
        <f>AG42+AG43</f>
        <v>253.99</v>
      </c>
    </row>
    <row r="45" spans="1:33" x14ac:dyDescent="0.35">
      <c r="A45" s="2"/>
      <c r="B45" s="2" t="s">
        <v>86</v>
      </c>
      <c r="C45" s="2"/>
      <c r="D45" s="2"/>
      <c r="E45" s="2"/>
      <c r="F45" s="2"/>
      <c r="G45" s="2"/>
      <c r="H45" s="6">
        <f>ROUND(H2+H21-H44,5)</f>
        <v>2903.35</v>
      </c>
      <c r="I45" s="7"/>
      <c r="J45" s="6">
        <f>ROUND(J2+J21-J44,5)</f>
        <v>4545.8500000000004</v>
      </c>
      <c r="K45" s="7"/>
      <c r="L45" s="6">
        <f>ROUND(L2+L21-L44,5)</f>
        <v>-49976.63</v>
      </c>
      <c r="M45" s="7"/>
      <c r="N45" s="6">
        <f>ROUND(N2+N21-N44,5)</f>
        <v>-1831.25</v>
      </c>
      <c r="O45" s="7"/>
      <c r="P45" s="6">
        <f>ROUND(P2+P21-P44,5)</f>
        <v>8115.5</v>
      </c>
      <c r="Q45" s="7"/>
      <c r="R45" s="6">
        <f>ROUND(R2+R21-R44,5)</f>
        <v>3812.96</v>
      </c>
      <c r="S45" s="7"/>
      <c r="T45" s="6">
        <f>ROUND(T2+T21-T44,5)</f>
        <v>18686.55</v>
      </c>
      <c r="U45" s="7"/>
      <c r="V45" s="6">
        <f>ROUND(V2+V21-V44,5)</f>
        <v>5060.21</v>
      </c>
      <c r="W45" s="7"/>
      <c r="X45" s="6">
        <f>ROUND(X2+X21-X44,5)</f>
        <v>4966.5200000000004</v>
      </c>
      <c r="Y45" s="7"/>
      <c r="Z45" s="6">
        <f>ROUND(Z2+Z21-Z44,5)</f>
        <v>4927.92</v>
      </c>
      <c r="AA45" s="7"/>
      <c r="AB45" s="6">
        <f>ROUND(AB2+AB21-AB44,5)</f>
        <v>5000.3</v>
      </c>
      <c r="AC45" s="7"/>
      <c r="AD45" s="6">
        <f>ROUND(AD2+AD21-AD44,5)</f>
        <v>4906.5200000000004</v>
      </c>
      <c r="AE45" s="7"/>
      <c r="AF45" s="6">
        <f>ROUND(AF2+AF21-AF44,5)</f>
        <v>11371.79</v>
      </c>
      <c r="AG45" s="6">
        <f>ROUND(AG2+AG21-AG44,5)</f>
        <v>-253.99</v>
      </c>
    </row>
    <row r="46" spans="1:33" outlineLevel="1" x14ac:dyDescent="0.35">
      <c r="A46" s="2"/>
      <c r="B46" s="2" t="s">
        <v>87</v>
      </c>
      <c r="C46" s="2"/>
      <c r="D46" s="2"/>
      <c r="E46" s="2"/>
      <c r="F46" s="2"/>
      <c r="G46" s="2"/>
      <c r="H46" s="6"/>
      <c r="I46" s="7"/>
      <c r="J46" s="6"/>
      <c r="K46" s="7"/>
      <c r="L46" s="6"/>
      <c r="M46" s="7"/>
      <c r="N46" s="6"/>
      <c r="O46" s="7"/>
      <c r="P46" s="6"/>
      <c r="Q46" s="7"/>
      <c r="R46" s="6"/>
      <c r="S46" s="7"/>
      <c r="T46" s="6"/>
      <c r="U46" s="7"/>
      <c r="V46" s="6"/>
      <c r="W46" s="7"/>
      <c r="X46" s="6"/>
      <c r="Y46" s="7"/>
      <c r="Z46" s="6"/>
      <c r="AA46" s="7"/>
      <c r="AB46" s="6"/>
      <c r="AC46" s="7"/>
      <c r="AD46" s="6"/>
      <c r="AE46" s="7"/>
      <c r="AF46" s="6"/>
    </row>
    <row r="47" spans="1:33" outlineLevel="2" x14ac:dyDescent="0.35">
      <c r="A47" s="2"/>
      <c r="B47" s="2"/>
      <c r="C47" s="2" t="s">
        <v>183</v>
      </c>
      <c r="D47" s="2"/>
      <c r="E47" s="2"/>
      <c r="F47" s="2"/>
      <c r="G47" s="2"/>
      <c r="H47" s="6"/>
      <c r="I47" s="7"/>
      <c r="J47" s="6"/>
      <c r="K47" s="7"/>
      <c r="L47" s="6"/>
      <c r="M47" s="7"/>
      <c r="N47" s="6"/>
      <c r="O47" s="7"/>
      <c r="P47" s="6"/>
      <c r="Q47" s="7"/>
      <c r="R47" s="6"/>
      <c r="S47" s="7"/>
      <c r="T47" s="6"/>
      <c r="U47" s="7"/>
      <c r="V47" s="6"/>
      <c r="W47" s="7"/>
      <c r="X47" s="6"/>
      <c r="Y47" s="7"/>
      <c r="Z47" s="6"/>
      <c r="AA47" s="7"/>
      <c r="AB47" s="6"/>
      <c r="AC47" s="7"/>
      <c r="AD47" s="6"/>
      <c r="AE47" s="7"/>
      <c r="AF47" s="6"/>
    </row>
    <row r="48" spans="1:33" ht="15" outlineLevel="2" thickBot="1" x14ac:dyDescent="0.4">
      <c r="A48" s="2"/>
      <c r="B48" s="2"/>
      <c r="C48" s="2"/>
      <c r="D48" s="2" t="s">
        <v>184</v>
      </c>
      <c r="E48" s="2"/>
      <c r="F48" s="2"/>
      <c r="G48" s="2"/>
      <c r="H48" s="6">
        <v>2500</v>
      </c>
      <c r="I48" s="7"/>
      <c r="J48" s="6">
        <v>2500</v>
      </c>
      <c r="K48" s="7"/>
      <c r="L48" s="6">
        <v>2500</v>
      </c>
      <c r="M48" s="7"/>
      <c r="N48" s="6">
        <v>2500</v>
      </c>
      <c r="O48" s="7"/>
      <c r="P48" s="6">
        <v>2500</v>
      </c>
      <c r="Q48" s="7"/>
      <c r="R48" s="6">
        <v>2500</v>
      </c>
      <c r="S48" s="7"/>
      <c r="T48" s="6">
        <v>2500</v>
      </c>
      <c r="U48" s="7"/>
      <c r="V48" s="6">
        <v>2500</v>
      </c>
      <c r="W48" s="7"/>
      <c r="X48" s="6">
        <v>2500</v>
      </c>
      <c r="Y48" s="7"/>
      <c r="Z48" s="6">
        <v>2500</v>
      </c>
      <c r="AA48" s="7"/>
      <c r="AB48" s="6">
        <v>2500</v>
      </c>
      <c r="AC48" s="7"/>
      <c r="AD48" s="6">
        <v>2500</v>
      </c>
      <c r="AE48" s="7"/>
      <c r="AF48" s="6">
        <f>ROUND(SUM(H48:AD48),5)</f>
        <v>30000</v>
      </c>
    </row>
    <row r="49" spans="1:32" ht="15" outlineLevel="1" thickBot="1" x14ac:dyDescent="0.4">
      <c r="A49" s="2"/>
      <c r="B49" s="2"/>
      <c r="C49" s="2" t="s">
        <v>185</v>
      </c>
      <c r="D49" s="2"/>
      <c r="E49" s="2"/>
      <c r="F49" s="2"/>
      <c r="G49" s="2"/>
      <c r="H49" s="20">
        <f>ROUND(SUM(H47:H48),5)</f>
        <v>2500</v>
      </c>
      <c r="I49" s="7"/>
      <c r="J49" s="20">
        <f>ROUND(SUM(J47:J48),5)</f>
        <v>2500</v>
      </c>
      <c r="K49" s="7"/>
      <c r="L49" s="20">
        <f>ROUND(SUM(L47:L48),5)</f>
        <v>2500</v>
      </c>
      <c r="M49" s="7"/>
      <c r="N49" s="20">
        <f>ROUND(SUM(N47:N48),5)</f>
        <v>2500</v>
      </c>
      <c r="O49" s="7"/>
      <c r="P49" s="20">
        <f>ROUND(SUM(P47:P48),5)</f>
        <v>2500</v>
      </c>
      <c r="Q49" s="7"/>
      <c r="R49" s="20">
        <f>ROUND(SUM(R47:R48),5)</f>
        <v>2500</v>
      </c>
      <c r="S49" s="7"/>
      <c r="T49" s="20">
        <f>ROUND(SUM(T47:T48),5)</f>
        <v>2500</v>
      </c>
      <c r="U49" s="7"/>
      <c r="V49" s="20">
        <f>ROUND(SUM(V47:V48),5)</f>
        <v>2500</v>
      </c>
      <c r="W49" s="7"/>
      <c r="X49" s="20">
        <f>ROUND(SUM(X47:X48),5)</f>
        <v>2500</v>
      </c>
      <c r="Y49" s="7"/>
      <c r="Z49" s="20">
        <f>ROUND(SUM(Z47:Z48),5)</f>
        <v>2500</v>
      </c>
      <c r="AA49" s="7"/>
      <c r="AB49" s="20">
        <f>ROUND(SUM(AB47:AB48),5)</f>
        <v>2500</v>
      </c>
      <c r="AC49" s="7"/>
      <c r="AD49" s="20">
        <f>ROUND(SUM(AD47:AD48),5)</f>
        <v>2500</v>
      </c>
      <c r="AE49" s="7"/>
      <c r="AF49" s="20">
        <f>ROUND(SUM(H49:AD49),5)</f>
        <v>30000</v>
      </c>
    </row>
    <row r="50" spans="1:32" ht="15" thickBot="1" x14ac:dyDescent="0.4">
      <c r="A50" s="2"/>
      <c r="B50" s="2" t="s">
        <v>186</v>
      </c>
      <c r="C50" s="2"/>
      <c r="D50" s="2"/>
      <c r="E50" s="2"/>
      <c r="F50" s="2"/>
      <c r="G50" s="2"/>
      <c r="H50" s="20">
        <f>ROUND(H46+H49,5)</f>
        <v>2500</v>
      </c>
      <c r="I50" s="7"/>
      <c r="J50" s="20">
        <f>ROUND(J46+J49,5)</f>
        <v>2500</v>
      </c>
      <c r="K50" s="7"/>
      <c r="L50" s="20">
        <f>ROUND(L46+L49,5)</f>
        <v>2500</v>
      </c>
      <c r="M50" s="7"/>
      <c r="N50" s="20">
        <f>ROUND(N46+N49,5)</f>
        <v>2500</v>
      </c>
      <c r="O50" s="7"/>
      <c r="P50" s="20">
        <f>ROUND(P46+P49,5)</f>
        <v>2500</v>
      </c>
      <c r="Q50" s="7"/>
      <c r="R50" s="20">
        <f>ROUND(R46+R49,5)</f>
        <v>2500</v>
      </c>
      <c r="S50" s="7"/>
      <c r="T50" s="20">
        <f>ROUND(T46+T49,5)</f>
        <v>2500</v>
      </c>
      <c r="U50" s="7"/>
      <c r="V50" s="20">
        <f>ROUND(V46+V49,5)</f>
        <v>2500</v>
      </c>
      <c r="W50" s="7"/>
      <c r="X50" s="20">
        <f>ROUND(X46+X49,5)</f>
        <v>2500</v>
      </c>
      <c r="Y50" s="7"/>
      <c r="Z50" s="20">
        <f>ROUND(Z46+Z49,5)</f>
        <v>2500</v>
      </c>
      <c r="AA50" s="7"/>
      <c r="AB50" s="20">
        <f>ROUND(AB46+AB49,5)</f>
        <v>2500</v>
      </c>
      <c r="AC50" s="7"/>
      <c r="AD50" s="20">
        <f>ROUND(AD46+AD49,5)</f>
        <v>2500</v>
      </c>
      <c r="AE50" s="7"/>
      <c r="AF50" s="20">
        <f>ROUND(SUM(H50:AD50),5)</f>
        <v>30000</v>
      </c>
    </row>
    <row r="51" spans="1:32" s="15" customFormat="1" ht="11" thickBot="1" x14ac:dyDescent="0.3">
      <c r="A51" s="2" t="s">
        <v>88</v>
      </c>
      <c r="B51" s="2"/>
      <c r="C51" s="2"/>
      <c r="D51" s="2"/>
      <c r="E51" s="2"/>
      <c r="F51" s="2"/>
      <c r="G51" s="2"/>
      <c r="H51" s="13">
        <f>ROUND(H45+H50,5)</f>
        <v>5403.35</v>
      </c>
      <c r="I51" s="2"/>
      <c r="J51" s="13">
        <f>ROUND(J45+J50,5)</f>
        <v>7045.85</v>
      </c>
      <c r="K51" s="2"/>
      <c r="L51" s="13">
        <f>ROUND(L45+L50,5)</f>
        <v>-47476.63</v>
      </c>
      <c r="M51" s="2"/>
      <c r="N51" s="13">
        <f>ROUND(N45+N50,5)</f>
        <v>668.75</v>
      </c>
      <c r="O51" s="2"/>
      <c r="P51" s="13">
        <f>ROUND(P45+P50,5)</f>
        <v>10615.5</v>
      </c>
      <c r="Q51" s="2"/>
      <c r="R51" s="13">
        <f>ROUND(R45+R50,5)</f>
        <v>6312.96</v>
      </c>
      <c r="S51" s="2"/>
      <c r="T51" s="13">
        <f>ROUND(T45+T50,5)</f>
        <v>21186.55</v>
      </c>
      <c r="U51" s="2"/>
      <c r="V51" s="13">
        <f>ROUND(V45+V50,5)</f>
        <v>7560.21</v>
      </c>
      <c r="W51" s="2"/>
      <c r="X51" s="13">
        <f>ROUND(X45+X50,5)</f>
        <v>7466.52</v>
      </c>
      <c r="Y51" s="2"/>
      <c r="Z51" s="13">
        <f>ROUND(Z45+Z50,5)</f>
        <v>7427.92</v>
      </c>
      <c r="AA51" s="2"/>
      <c r="AB51" s="13">
        <f>ROUND(AB45+AB50,5)</f>
        <v>7500.3</v>
      </c>
      <c r="AC51" s="2"/>
      <c r="AD51" s="13">
        <f>ROUND(AD45+AD50,5)</f>
        <v>7406.52</v>
      </c>
      <c r="AE51" s="2"/>
      <c r="AF51" s="13">
        <f>ROUND(SUM(H51:AD51),5)</f>
        <v>41117.800000000003</v>
      </c>
    </row>
    <row r="52" spans="1:32" ht="15" thickTop="1" x14ac:dyDescent="0.35"/>
  </sheetData>
  <pageMargins left="0.7" right="0.7" top="0.75" bottom="0.75" header="0.1" footer="0.3"/>
  <pageSetup orientation="portrait" r:id="rId1"/>
  <headerFooter>
    <oddHeader>&amp;L&amp;"Arial,Bold"&amp;8 10:20 AM
&amp;"Arial,Bold"&amp;8 04/20/22
&amp;"Arial,Bold"&amp;8 Accrual Basis&amp;C&amp;"Arial,Bold"&amp;12 Dockton Water Association
&amp;"Arial,Bold"&amp;14 Profit &amp;&amp; Loss
&amp;"Arial,Bold"&amp;10 July 2021 through March 2022</oddHeader>
    <oddFooter>&amp;R&amp;"Arial,Bold"&amp;8 Page &amp;P of &amp;N</oddFooter>
  </headerFooter>
  <drawing r:id="rId2"/>
  <legacyDrawing r:id="rId3"/>
  <controls>
    <mc:AlternateContent xmlns:mc="http://schemas.openxmlformats.org/markup-compatibility/2006">
      <mc:Choice Requires="x14">
        <control shapeId="49153" r:id="rId4" name="FILTER">
          <controlPr defaultSize="0" autoLine="0" r:id="rId5">
            <anchor moveWithCells="1">
              <from>
                <xdr:col>0</xdr:col>
                <xdr:colOff>0</xdr:colOff>
                <xdr:row>0</xdr:row>
                <xdr:rowOff>0</xdr:rowOff>
              </from>
              <to>
                <xdr:col>4</xdr:col>
                <xdr:colOff>76200</xdr:colOff>
                <xdr:row>1</xdr:row>
                <xdr:rowOff>38100</xdr:rowOff>
              </to>
            </anchor>
          </controlPr>
        </control>
      </mc:Choice>
      <mc:Fallback>
        <control shapeId="49153" r:id="rId4" name="FILTER"/>
      </mc:Fallback>
    </mc:AlternateContent>
    <mc:AlternateContent xmlns:mc="http://schemas.openxmlformats.org/markup-compatibility/2006">
      <mc:Choice Requires="x14">
        <control shapeId="49154" r:id="rId6" name="HEADER">
          <controlPr defaultSize="0" autoLine="0" r:id="rId7">
            <anchor moveWithCells="1">
              <from>
                <xdr:col>0</xdr:col>
                <xdr:colOff>0</xdr:colOff>
                <xdr:row>0</xdr:row>
                <xdr:rowOff>0</xdr:rowOff>
              </from>
              <to>
                <xdr:col>4</xdr:col>
                <xdr:colOff>76200</xdr:colOff>
                <xdr:row>1</xdr:row>
                <xdr:rowOff>38100</xdr:rowOff>
              </to>
            </anchor>
          </controlPr>
        </control>
      </mc:Choice>
      <mc:Fallback>
        <control shapeId="49154" r:id="rId6" name="HEADER"/>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N64"/>
  <sheetViews>
    <sheetView workbookViewId="0"/>
  </sheetViews>
  <sheetFormatPr defaultRowHeight="14.5" outlineLevelRow="3" x14ac:dyDescent="0.35"/>
  <cols>
    <col min="1" max="6" width="3" style="15" customWidth="1"/>
    <col min="7" max="7" width="27.90625" style="15" customWidth="1"/>
    <col min="8" max="8" width="7.90625" customWidth="1"/>
    <col min="9" max="9" width="2.36328125" customWidth="1"/>
    <col min="10" max="10" width="7.90625" customWidth="1"/>
    <col min="11" max="11" width="2.36328125" customWidth="1"/>
    <col min="12" max="12" width="7.90625" customWidth="1"/>
    <col min="13" max="13" width="2.36328125" customWidth="1"/>
    <col min="14" max="14" width="7.90625" customWidth="1"/>
    <col min="15" max="15" width="2.36328125" customWidth="1"/>
    <col min="16" max="16" width="7.90625" customWidth="1"/>
    <col min="17" max="17" width="2.36328125" customWidth="1"/>
    <col min="18" max="18" width="7.90625" customWidth="1"/>
    <col min="19" max="19" width="2.36328125" customWidth="1"/>
    <col min="20" max="20" width="7.90625" customWidth="1"/>
    <col min="21" max="21" width="2.36328125" customWidth="1"/>
    <col min="22" max="22" width="7.90625" customWidth="1"/>
    <col min="23" max="23" width="2.36328125" customWidth="1"/>
    <col min="24" max="24" width="7.90625" customWidth="1"/>
    <col min="25" max="25" width="2.36328125" customWidth="1"/>
    <col min="26" max="26" width="7.90625" customWidth="1"/>
    <col min="27" max="27" width="2.36328125" customWidth="1"/>
    <col min="28" max="28" width="7.90625" customWidth="1"/>
    <col min="29" max="29" width="2.36328125" customWidth="1"/>
    <col min="30" max="30" width="7.90625" customWidth="1"/>
    <col min="31" max="31" width="2.36328125" customWidth="1"/>
    <col min="32" max="32" width="7.90625" customWidth="1"/>
    <col min="33" max="33" width="2.36328125" customWidth="1"/>
    <col min="34" max="34" width="7.90625" customWidth="1"/>
    <col min="35" max="35" width="2.36328125" customWidth="1"/>
    <col min="36" max="36" width="7.90625" customWidth="1"/>
    <col min="37" max="37" width="2.36328125" customWidth="1"/>
    <col min="38" max="38" width="7.90625" customWidth="1"/>
    <col min="39" max="39" width="2.36328125" customWidth="1"/>
    <col min="40" max="40" width="7.90625" customWidth="1"/>
    <col min="41" max="41" width="2.36328125" customWidth="1"/>
    <col min="42" max="42" width="7.90625" customWidth="1"/>
    <col min="43" max="43" width="2.36328125" customWidth="1"/>
    <col min="44" max="44" width="7.90625" customWidth="1"/>
    <col min="45" max="45" width="2.36328125" customWidth="1"/>
    <col min="46" max="46" width="7.90625" customWidth="1"/>
    <col min="47" max="47" width="2.36328125" customWidth="1"/>
    <col min="48" max="48" width="7.90625" customWidth="1"/>
    <col min="49" max="49" width="2.36328125" customWidth="1"/>
    <col min="50" max="50" width="7.90625" customWidth="1"/>
    <col min="51" max="51" width="2.36328125" customWidth="1"/>
    <col min="52" max="52" width="7.90625" customWidth="1"/>
    <col min="53" max="53" width="2.36328125" customWidth="1"/>
    <col min="54" max="54" width="7.90625" customWidth="1"/>
    <col min="55" max="55" width="2.36328125" customWidth="1"/>
    <col min="56" max="56" width="7.90625" customWidth="1"/>
    <col min="57" max="57" width="2.36328125" customWidth="1"/>
    <col min="58" max="58" width="7.90625" customWidth="1"/>
    <col min="59" max="59" width="2.36328125" customWidth="1"/>
    <col min="60" max="60" width="7.90625" customWidth="1"/>
    <col min="61" max="61" width="2.36328125" customWidth="1"/>
    <col min="62" max="62" width="7.90625" customWidth="1"/>
    <col min="63" max="63" width="2.36328125" customWidth="1"/>
    <col min="64" max="64" width="7.90625" customWidth="1"/>
    <col min="65" max="65" width="2.36328125" customWidth="1"/>
    <col min="66" max="66" width="7.90625" customWidth="1"/>
  </cols>
  <sheetData>
    <row r="1" spans="1:66" s="19" customFormat="1" ht="15" thickBot="1" x14ac:dyDescent="0.4">
      <c r="A1" s="16"/>
      <c r="B1" s="16"/>
      <c r="C1" s="16"/>
      <c r="D1" s="16"/>
      <c r="E1" s="16"/>
      <c r="F1" s="16"/>
      <c r="G1" s="16"/>
      <c r="H1" s="21" t="s">
        <v>127</v>
      </c>
      <c r="I1" s="18"/>
      <c r="J1" s="21" t="s">
        <v>128</v>
      </c>
      <c r="K1" s="18"/>
      <c r="L1" s="21" t="s">
        <v>129</v>
      </c>
      <c r="M1" s="18"/>
      <c r="N1" s="21" t="s">
        <v>130</v>
      </c>
      <c r="O1" s="18"/>
      <c r="P1" s="21" t="s">
        <v>131</v>
      </c>
      <c r="Q1" s="18"/>
      <c r="R1" s="21" t="s">
        <v>132</v>
      </c>
      <c r="S1" s="18"/>
      <c r="T1" s="21" t="s">
        <v>133</v>
      </c>
      <c r="U1" s="18"/>
      <c r="V1" s="21" t="s">
        <v>134</v>
      </c>
      <c r="W1" s="18"/>
      <c r="X1" s="21" t="s">
        <v>135</v>
      </c>
      <c r="Y1" s="18"/>
      <c r="Z1" s="21" t="s">
        <v>136</v>
      </c>
      <c r="AA1" s="18"/>
      <c r="AB1" s="21" t="s">
        <v>137</v>
      </c>
      <c r="AC1" s="18"/>
      <c r="AD1" s="21" t="s">
        <v>138</v>
      </c>
      <c r="AE1" s="18"/>
      <c r="AF1" s="21" t="s">
        <v>102</v>
      </c>
      <c r="AG1" s="18"/>
      <c r="AH1" s="21" t="s">
        <v>104</v>
      </c>
      <c r="AI1" s="18"/>
      <c r="AJ1" s="21" t="s">
        <v>106</v>
      </c>
      <c r="AK1" s="18"/>
      <c r="AL1" s="21" t="s">
        <v>108</v>
      </c>
      <c r="AM1" s="18"/>
      <c r="AN1" s="21" t="s">
        <v>110</v>
      </c>
      <c r="AO1" s="18"/>
      <c r="AP1" s="21" t="s">
        <v>112</v>
      </c>
      <c r="AQ1" s="18"/>
      <c r="AR1" s="21" t="s">
        <v>114</v>
      </c>
      <c r="AS1" s="18"/>
      <c r="AT1" s="21" t="s">
        <v>116</v>
      </c>
      <c r="AU1" s="18"/>
      <c r="AV1" s="21" t="s">
        <v>118</v>
      </c>
      <c r="AW1" s="18"/>
      <c r="AX1" s="21" t="s">
        <v>120</v>
      </c>
      <c r="AY1" s="18"/>
      <c r="AZ1" s="21" t="s">
        <v>122</v>
      </c>
      <c r="BA1" s="18"/>
      <c r="BB1" s="21" t="s">
        <v>124</v>
      </c>
      <c r="BC1" s="18"/>
      <c r="BD1" s="21" t="s">
        <v>101</v>
      </c>
      <c r="BE1" s="18"/>
      <c r="BF1" s="21" t="s">
        <v>103</v>
      </c>
      <c r="BG1" s="18"/>
      <c r="BH1" s="21" t="s">
        <v>105</v>
      </c>
      <c r="BI1" s="18"/>
      <c r="BJ1" s="21" t="s">
        <v>107</v>
      </c>
      <c r="BK1" s="18"/>
      <c r="BL1" s="21" t="s">
        <v>109</v>
      </c>
      <c r="BM1" s="18"/>
      <c r="BN1" s="21" t="s">
        <v>111</v>
      </c>
    </row>
    <row r="2" spans="1:66" ht="15" thickTop="1" x14ac:dyDescent="0.35">
      <c r="A2" s="2"/>
      <c r="B2" s="2" t="s">
        <v>7</v>
      </c>
      <c r="C2" s="2"/>
      <c r="D2" s="2"/>
      <c r="E2" s="2"/>
      <c r="F2" s="2"/>
      <c r="G2" s="2"/>
      <c r="H2" s="6"/>
      <c r="I2" s="7"/>
      <c r="J2" s="6"/>
      <c r="K2" s="7"/>
      <c r="L2" s="6"/>
      <c r="M2" s="7"/>
      <c r="N2" s="6"/>
      <c r="O2" s="7"/>
      <c r="P2" s="6"/>
      <c r="Q2" s="7"/>
      <c r="R2" s="6"/>
      <c r="S2" s="7"/>
      <c r="T2" s="6"/>
      <c r="U2" s="7"/>
      <c r="V2" s="6"/>
      <c r="W2" s="7"/>
      <c r="X2" s="6"/>
      <c r="Y2" s="7"/>
      <c r="Z2" s="6"/>
      <c r="AA2" s="7"/>
      <c r="AB2" s="6"/>
      <c r="AC2" s="7"/>
      <c r="AD2" s="6"/>
      <c r="AE2" s="7"/>
      <c r="AF2" s="6"/>
      <c r="AG2" s="7"/>
      <c r="AH2" s="6"/>
      <c r="AI2" s="7"/>
      <c r="AJ2" s="6"/>
      <c r="AK2" s="7"/>
      <c r="AL2" s="6"/>
      <c r="AM2" s="7"/>
      <c r="AN2" s="6"/>
      <c r="AO2" s="7"/>
      <c r="AP2" s="6"/>
      <c r="AQ2" s="7"/>
      <c r="AR2" s="6"/>
      <c r="AS2" s="7"/>
      <c r="AT2" s="6"/>
      <c r="AU2" s="7"/>
      <c r="AV2" s="6"/>
      <c r="AW2" s="7"/>
      <c r="AX2" s="6"/>
      <c r="AY2" s="7"/>
      <c r="AZ2" s="6"/>
      <c r="BA2" s="7"/>
      <c r="BB2" s="6"/>
      <c r="BC2" s="7"/>
      <c r="BD2" s="6"/>
      <c r="BE2" s="7"/>
      <c r="BF2" s="6"/>
      <c r="BG2" s="7"/>
      <c r="BH2" s="6"/>
      <c r="BI2" s="7"/>
      <c r="BJ2" s="6"/>
      <c r="BK2" s="7"/>
      <c r="BL2" s="6"/>
      <c r="BM2" s="7"/>
      <c r="BN2" s="6"/>
    </row>
    <row r="3" spans="1:66" outlineLevel="1" x14ac:dyDescent="0.35">
      <c r="A3" s="2"/>
      <c r="B3" s="2"/>
      <c r="C3" s="2"/>
      <c r="D3" s="2" t="s">
        <v>8</v>
      </c>
      <c r="E3" s="2"/>
      <c r="F3" s="2"/>
      <c r="G3" s="2"/>
      <c r="H3" s="6"/>
      <c r="I3" s="7"/>
      <c r="J3" s="6"/>
      <c r="K3" s="7"/>
      <c r="L3" s="6"/>
      <c r="M3" s="7"/>
      <c r="N3" s="6"/>
      <c r="O3" s="7"/>
      <c r="P3" s="6"/>
      <c r="Q3" s="7"/>
      <c r="R3" s="6"/>
      <c r="S3" s="7"/>
      <c r="T3" s="6"/>
      <c r="U3" s="7"/>
      <c r="V3" s="6"/>
      <c r="W3" s="7"/>
      <c r="X3" s="6"/>
      <c r="Y3" s="7"/>
      <c r="Z3" s="6"/>
      <c r="AA3" s="7"/>
      <c r="AB3" s="6"/>
      <c r="AC3" s="7"/>
      <c r="AD3" s="6"/>
      <c r="AE3" s="7"/>
      <c r="AF3" s="6"/>
      <c r="AG3" s="7"/>
      <c r="AH3" s="6"/>
      <c r="AI3" s="7"/>
      <c r="AJ3" s="6"/>
      <c r="AK3" s="7"/>
      <c r="AL3" s="6"/>
      <c r="AM3" s="7"/>
      <c r="AN3" s="6"/>
      <c r="AO3" s="7"/>
      <c r="AP3" s="6"/>
      <c r="AQ3" s="7"/>
      <c r="AR3" s="6"/>
      <c r="AS3" s="7"/>
      <c r="AT3" s="6"/>
      <c r="AU3" s="7"/>
      <c r="AV3" s="6"/>
      <c r="AW3" s="7"/>
      <c r="AX3" s="6"/>
      <c r="AY3" s="7"/>
      <c r="AZ3" s="6"/>
      <c r="BA3" s="7"/>
      <c r="BB3" s="6"/>
      <c r="BC3" s="7"/>
      <c r="BD3" s="6"/>
      <c r="BE3" s="7"/>
      <c r="BF3" s="6"/>
      <c r="BG3" s="7"/>
      <c r="BH3" s="6"/>
      <c r="BI3" s="7"/>
      <c r="BJ3" s="6"/>
      <c r="BK3" s="7"/>
      <c r="BL3" s="6"/>
      <c r="BM3" s="7"/>
      <c r="BN3" s="6"/>
    </row>
    <row r="4" spans="1:66" outlineLevel="2" x14ac:dyDescent="0.35">
      <c r="A4" s="2"/>
      <c r="B4" s="2"/>
      <c r="C4" s="2"/>
      <c r="D4" s="2"/>
      <c r="E4" s="2" t="s">
        <v>9</v>
      </c>
      <c r="F4" s="2"/>
      <c r="G4" s="2"/>
      <c r="H4" s="6"/>
      <c r="I4" s="7"/>
      <c r="J4" s="6"/>
      <c r="K4" s="7"/>
      <c r="L4" s="6"/>
      <c r="M4" s="7"/>
      <c r="N4" s="6"/>
      <c r="O4" s="7"/>
      <c r="P4" s="6"/>
      <c r="Q4" s="7"/>
      <c r="R4" s="6"/>
      <c r="S4" s="7"/>
      <c r="T4" s="6"/>
      <c r="U4" s="7"/>
      <c r="V4" s="6"/>
      <c r="W4" s="7"/>
      <c r="X4" s="6"/>
      <c r="Y4" s="7"/>
      <c r="Z4" s="6"/>
      <c r="AA4" s="7"/>
      <c r="AB4" s="6"/>
      <c r="AC4" s="7"/>
      <c r="AD4" s="6"/>
      <c r="AE4" s="7"/>
      <c r="AF4" s="6"/>
      <c r="AG4" s="7"/>
      <c r="AH4" s="6"/>
      <c r="AI4" s="7"/>
      <c r="AJ4" s="6"/>
      <c r="AK4" s="7"/>
      <c r="AL4" s="6"/>
      <c r="AM4" s="7"/>
      <c r="AN4" s="6"/>
      <c r="AO4" s="7"/>
      <c r="AP4" s="6"/>
      <c r="AQ4" s="7"/>
      <c r="AR4" s="6"/>
      <c r="AS4" s="7"/>
      <c r="AT4" s="6"/>
      <c r="AU4" s="7"/>
      <c r="AV4" s="6"/>
      <c r="AW4" s="7"/>
      <c r="AX4" s="6"/>
      <c r="AY4" s="7"/>
      <c r="AZ4" s="6"/>
      <c r="BA4" s="7"/>
      <c r="BB4" s="6"/>
      <c r="BC4" s="7"/>
      <c r="BD4" s="6"/>
      <c r="BE4" s="7"/>
      <c r="BF4" s="6"/>
      <c r="BG4" s="7"/>
      <c r="BH4" s="6"/>
      <c r="BI4" s="7"/>
      <c r="BJ4" s="6"/>
      <c r="BK4" s="7"/>
      <c r="BL4" s="6"/>
      <c r="BM4" s="7"/>
      <c r="BN4" s="6"/>
    </row>
    <row r="5" spans="1:66" outlineLevel="2" x14ac:dyDescent="0.35">
      <c r="A5" s="2"/>
      <c r="B5" s="2"/>
      <c r="C5" s="2"/>
      <c r="D5" s="2"/>
      <c r="E5" s="2"/>
      <c r="F5" s="2" t="s">
        <v>10</v>
      </c>
      <c r="G5" s="2"/>
      <c r="H5" s="6">
        <v>13439.76</v>
      </c>
      <c r="I5" s="7"/>
      <c r="J5" s="6">
        <v>12484.82</v>
      </c>
      <c r="K5" s="7"/>
      <c r="L5" s="6">
        <v>13274.5</v>
      </c>
      <c r="M5" s="7"/>
      <c r="N5" s="6">
        <v>13340.96</v>
      </c>
      <c r="O5" s="7"/>
      <c r="P5" s="6">
        <v>11608.52</v>
      </c>
      <c r="Q5" s="7"/>
      <c r="R5" s="6">
        <v>13436.85</v>
      </c>
      <c r="S5" s="7"/>
      <c r="T5" s="6">
        <v>13347.64</v>
      </c>
      <c r="U5" s="7"/>
      <c r="V5" s="6">
        <v>14438.43</v>
      </c>
      <c r="W5" s="7"/>
      <c r="X5" s="6">
        <v>13545.03</v>
      </c>
      <c r="Y5" s="7"/>
      <c r="Z5" s="6">
        <v>13442.64</v>
      </c>
      <c r="AA5" s="7"/>
      <c r="AB5" s="6">
        <v>13493.99</v>
      </c>
      <c r="AC5" s="7"/>
      <c r="AD5" s="6">
        <v>13547</v>
      </c>
      <c r="AE5" s="7"/>
      <c r="AF5" s="6">
        <v>13484.29</v>
      </c>
      <c r="AG5" s="7"/>
      <c r="AH5" s="6">
        <v>13375.65</v>
      </c>
      <c r="AI5" s="7"/>
      <c r="AJ5" s="6">
        <v>13326.6</v>
      </c>
      <c r="AK5" s="7"/>
      <c r="AL5" s="6">
        <v>13631</v>
      </c>
      <c r="AM5" s="7"/>
      <c r="AN5" s="6">
        <v>13245.77</v>
      </c>
      <c r="AO5" s="7"/>
      <c r="AP5" s="6">
        <v>13437.15</v>
      </c>
      <c r="AQ5" s="7"/>
      <c r="AR5" s="6">
        <v>13564.35</v>
      </c>
      <c r="AS5" s="7"/>
      <c r="AT5" s="6">
        <v>13595.39</v>
      </c>
      <c r="AU5" s="7"/>
      <c r="AV5" s="6">
        <v>13600</v>
      </c>
      <c r="AW5" s="7"/>
      <c r="AX5" s="6">
        <v>13570.57</v>
      </c>
      <c r="AY5" s="7"/>
      <c r="AZ5" s="6">
        <v>13600</v>
      </c>
      <c r="BA5" s="7"/>
      <c r="BB5" s="6">
        <v>13599.19</v>
      </c>
      <c r="BC5" s="7"/>
      <c r="BD5" s="6">
        <v>14752.13</v>
      </c>
      <c r="BE5" s="7"/>
      <c r="BF5" s="6">
        <v>14793.28</v>
      </c>
      <c r="BG5" s="7"/>
      <c r="BH5" s="6">
        <v>14712.06</v>
      </c>
      <c r="BI5" s="7"/>
      <c r="BJ5" s="6">
        <v>14839.48</v>
      </c>
      <c r="BK5" s="7"/>
      <c r="BL5" s="6">
        <v>14677.32</v>
      </c>
      <c r="BM5" s="7"/>
      <c r="BN5" s="6">
        <v>14850.37</v>
      </c>
    </row>
    <row r="6" spans="1:66" outlineLevel="2" x14ac:dyDescent="0.35">
      <c r="A6" s="2"/>
      <c r="B6" s="2"/>
      <c r="C6" s="2"/>
      <c r="D6" s="2"/>
      <c r="E6" s="2"/>
      <c r="F6" s="2" t="s">
        <v>11</v>
      </c>
      <c r="G6" s="2"/>
      <c r="H6" s="6">
        <v>68</v>
      </c>
      <c r="I6" s="7"/>
      <c r="J6" s="6">
        <v>68</v>
      </c>
      <c r="K6" s="7"/>
      <c r="L6" s="6">
        <v>68</v>
      </c>
      <c r="M6" s="7"/>
      <c r="N6" s="6">
        <v>68</v>
      </c>
      <c r="O6" s="7"/>
      <c r="P6" s="6">
        <v>68</v>
      </c>
      <c r="Q6" s="7"/>
      <c r="R6" s="6">
        <v>68</v>
      </c>
      <c r="S6" s="7"/>
      <c r="T6" s="6">
        <v>68</v>
      </c>
      <c r="U6" s="7"/>
      <c r="V6" s="6">
        <v>68</v>
      </c>
      <c r="W6" s="7"/>
      <c r="X6" s="6">
        <v>68</v>
      </c>
      <c r="Y6" s="7"/>
      <c r="Z6" s="6">
        <v>68</v>
      </c>
      <c r="AA6" s="7"/>
      <c r="AB6" s="6">
        <v>68</v>
      </c>
      <c r="AC6" s="7"/>
      <c r="AD6" s="6">
        <v>68</v>
      </c>
      <c r="AE6" s="7"/>
      <c r="AF6" s="6">
        <v>68</v>
      </c>
      <c r="AG6" s="7"/>
      <c r="AH6" s="6">
        <v>68</v>
      </c>
      <c r="AI6" s="7"/>
      <c r="AJ6" s="6">
        <v>68</v>
      </c>
      <c r="AK6" s="7"/>
      <c r="AL6" s="6">
        <v>68</v>
      </c>
      <c r="AM6" s="7"/>
      <c r="AN6" s="6">
        <v>68</v>
      </c>
      <c r="AO6" s="7"/>
      <c r="AP6" s="6">
        <v>68</v>
      </c>
      <c r="AQ6" s="7"/>
      <c r="AR6" s="6">
        <v>68</v>
      </c>
      <c r="AS6" s="7"/>
      <c r="AT6" s="6">
        <v>68</v>
      </c>
      <c r="AU6" s="7"/>
      <c r="AV6" s="6">
        <v>68</v>
      </c>
      <c r="AW6" s="7"/>
      <c r="AX6" s="6">
        <v>68</v>
      </c>
      <c r="AY6" s="7"/>
      <c r="AZ6" s="6">
        <v>68</v>
      </c>
      <c r="BA6" s="7"/>
      <c r="BB6" s="6">
        <v>68</v>
      </c>
      <c r="BC6" s="7"/>
      <c r="BD6" s="6">
        <v>68</v>
      </c>
      <c r="BE6" s="7"/>
      <c r="BF6" s="6">
        <v>68</v>
      </c>
      <c r="BG6" s="7"/>
      <c r="BH6" s="6">
        <v>68</v>
      </c>
      <c r="BI6" s="7"/>
      <c r="BJ6" s="6">
        <v>68</v>
      </c>
      <c r="BK6" s="7"/>
      <c r="BL6" s="6">
        <v>68</v>
      </c>
      <c r="BM6" s="7"/>
      <c r="BN6" s="6">
        <v>68</v>
      </c>
    </row>
    <row r="7" spans="1:66" outlineLevel="2" x14ac:dyDescent="0.35">
      <c r="A7" s="2"/>
      <c r="B7" s="2"/>
      <c r="C7" s="2"/>
      <c r="D7" s="2"/>
      <c r="E7" s="2"/>
      <c r="F7" s="2" t="s">
        <v>12</v>
      </c>
      <c r="G7" s="2"/>
      <c r="H7" s="6">
        <v>6098.71</v>
      </c>
      <c r="I7" s="7"/>
      <c r="J7" s="6">
        <v>6190.19</v>
      </c>
      <c r="K7" s="7"/>
      <c r="L7" s="6">
        <v>5898.28</v>
      </c>
      <c r="M7" s="7"/>
      <c r="N7" s="6">
        <v>6350.71</v>
      </c>
      <c r="O7" s="7"/>
      <c r="P7" s="6">
        <v>3195.74</v>
      </c>
      <c r="Q7" s="7"/>
      <c r="R7" s="6">
        <v>2502.65</v>
      </c>
      <c r="S7" s="7"/>
      <c r="T7" s="6">
        <v>3638.91</v>
      </c>
      <c r="U7" s="7"/>
      <c r="V7" s="6">
        <v>1642.56</v>
      </c>
      <c r="W7" s="7"/>
      <c r="X7" s="6">
        <v>2063.2399999999998</v>
      </c>
      <c r="Y7" s="7"/>
      <c r="Z7" s="6">
        <v>2705.46</v>
      </c>
      <c r="AA7" s="7"/>
      <c r="AB7" s="6">
        <v>3170.22</v>
      </c>
      <c r="AC7" s="7"/>
      <c r="AD7" s="6">
        <v>4187.46</v>
      </c>
      <c r="AE7" s="7"/>
      <c r="AF7" s="6">
        <v>4584.92</v>
      </c>
      <c r="AG7" s="7"/>
      <c r="AH7" s="6">
        <v>7031.06</v>
      </c>
      <c r="AI7" s="7"/>
      <c r="AJ7" s="6">
        <v>8496.73</v>
      </c>
      <c r="AK7" s="7"/>
      <c r="AL7" s="6">
        <v>6570.04</v>
      </c>
      <c r="AM7" s="7"/>
      <c r="AN7" s="6">
        <v>2584.16</v>
      </c>
      <c r="AO7" s="7"/>
      <c r="AP7" s="6">
        <v>2783.66</v>
      </c>
      <c r="AQ7" s="7"/>
      <c r="AR7" s="6">
        <v>2300.4299999999998</v>
      </c>
      <c r="AS7" s="7"/>
      <c r="AT7" s="6">
        <v>2168.81</v>
      </c>
      <c r="AU7" s="7"/>
      <c r="AV7" s="6">
        <v>2726.09</v>
      </c>
      <c r="AW7" s="7"/>
      <c r="AX7" s="6">
        <v>2337.5500000000002</v>
      </c>
      <c r="AY7" s="7"/>
      <c r="AZ7" s="6">
        <v>2280.6</v>
      </c>
      <c r="BA7" s="7"/>
      <c r="BB7" s="6">
        <v>5324.39</v>
      </c>
      <c r="BC7" s="7"/>
      <c r="BD7" s="6">
        <v>6644.66</v>
      </c>
      <c r="BE7" s="7"/>
      <c r="BF7" s="6">
        <v>7777.82</v>
      </c>
      <c r="BG7" s="7"/>
      <c r="BH7" s="6">
        <v>10611.92</v>
      </c>
      <c r="BI7" s="7"/>
      <c r="BJ7" s="6">
        <v>8112.58</v>
      </c>
      <c r="BK7" s="7"/>
      <c r="BL7" s="6">
        <v>2945.08</v>
      </c>
      <c r="BM7" s="7"/>
      <c r="BN7" s="6">
        <v>3524.02</v>
      </c>
    </row>
    <row r="8" spans="1:66" outlineLevel="2" x14ac:dyDescent="0.35">
      <c r="A8" s="2"/>
      <c r="B8" s="2"/>
      <c r="C8" s="2"/>
      <c r="D8" s="2"/>
      <c r="E8" s="2"/>
      <c r="F8" s="2" t="s">
        <v>98</v>
      </c>
      <c r="G8" s="2"/>
      <c r="H8" s="6">
        <v>0</v>
      </c>
      <c r="I8" s="7"/>
      <c r="J8" s="6">
        <v>0</v>
      </c>
      <c r="K8" s="7"/>
      <c r="L8" s="6">
        <v>100</v>
      </c>
      <c r="M8" s="7"/>
      <c r="N8" s="6">
        <v>806.3</v>
      </c>
      <c r="O8" s="7"/>
      <c r="P8" s="6">
        <v>0</v>
      </c>
      <c r="Q8" s="7"/>
      <c r="R8" s="6">
        <v>0</v>
      </c>
      <c r="S8" s="7"/>
      <c r="T8" s="6">
        <v>0</v>
      </c>
      <c r="U8" s="7"/>
      <c r="V8" s="6">
        <v>0</v>
      </c>
      <c r="W8" s="7"/>
      <c r="X8" s="6">
        <v>0</v>
      </c>
      <c r="Y8" s="7"/>
      <c r="Z8" s="6">
        <v>0</v>
      </c>
      <c r="AA8" s="7"/>
      <c r="AB8" s="6">
        <v>0</v>
      </c>
      <c r="AC8" s="7"/>
      <c r="AD8" s="6">
        <v>0</v>
      </c>
      <c r="AE8" s="7"/>
      <c r="AF8" s="6">
        <v>0</v>
      </c>
      <c r="AG8" s="7"/>
      <c r="AH8" s="6">
        <v>0</v>
      </c>
      <c r="AI8" s="7"/>
      <c r="AJ8" s="6">
        <v>0</v>
      </c>
      <c r="AK8" s="7"/>
      <c r="AL8" s="6">
        <v>0</v>
      </c>
      <c r="AM8" s="7"/>
      <c r="AN8" s="6">
        <v>0</v>
      </c>
      <c r="AO8" s="7"/>
      <c r="AP8" s="6">
        <v>0</v>
      </c>
      <c r="AQ8" s="7"/>
      <c r="AR8" s="6">
        <v>0</v>
      </c>
      <c r="AS8" s="7"/>
      <c r="AT8" s="6">
        <v>0</v>
      </c>
      <c r="AU8" s="7"/>
      <c r="AV8" s="6">
        <v>0</v>
      </c>
      <c r="AW8" s="7"/>
      <c r="AX8" s="6">
        <v>0</v>
      </c>
      <c r="AY8" s="7"/>
      <c r="AZ8" s="6">
        <v>0</v>
      </c>
      <c r="BA8" s="7"/>
      <c r="BB8" s="6">
        <v>0</v>
      </c>
      <c r="BC8" s="7"/>
      <c r="BD8" s="6">
        <v>0</v>
      </c>
      <c r="BE8" s="7"/>
      <c r="BF8" s="6">
        <v>0</v>
      </c>
      <c r="BG8" s="7"/>
      <c r="BH8" s="6">
        <v>0</v>
      </c>
      <c r="BI8" s="7"/>
      <c r="BJ8" s="6">
        <v>0</v>
      </c>
      <c r="BK8" s="7"/>
      <c r="BL8" s="6">
        <v>0</v>
      </c>
      <c r="BM8" s="7"/>
      <c r="BN8" s="6">
        <v>0</v>
      </c>
    </row>
    <row r="9" spans="1:66" ht="15" outlineLevel="2" thickBot="1" x14ac:dyDescent="0.4">
      <c r="A9" s="2"/>
      <c r="B9" s="2"/>
      <c r="C9" s="2"/>
      <c r="D9" s="2"/>
      <c r="E9" s="2"/>
      <c r="F9" s="2" t="s">
        <v>13</v>
      </c>
      <c r="G9" s="2"/>
      <c r="H9" s="9">
        <v>180.25</v>
      </c>
      <c r="I9" s="7"/>
      <c r="J9" s="9">
        <v>156.38999999999999</v>
      </c>
      <c r="K9" s="7"/>
      <c r="L9" s="9">
        <v>145.09</v>
      </c>
      <c r="M9" s="7"/>
      <c r="N9" s="9">
        <v>154.33000000000001</v>
      </c>
      <c r="O9" s="7"/>
      <c r="P9" s="9">
        <v>136.93</v>
      </c>
      <c r="Q9" s="7"/>
      <c r="R9" s="9">
        <v>146.13</v>
      </c>
      <c r="S9" s="7"/>
      <c r="T9" s="9">
        <v>146.05000000000001</v>
      </c>
      <c r="U9" s="7"/>
      <c r="V9" s="9">
        <v>122.02</v>
      </c>
      <c r="W9" s="7"/>
      <c r="X9" s="9">
        <v>144.55000000000001</v>
      </c>
      <c r="Y9" s="7"/>
      <c r="Z9" s="9">
        <v>0</v>
      </c>
      <c r="AA9" s="7"/>
      <c r="AB9" s="9">
        <v>0</v>
      </c>
      <c r="AC9" s="7"/>
      <c r="AD9" s="9">
        <v>0</v>
      </c>
      <c r="AE9" s="7"/>
      <c r="AF9" s="9">
        <v>0</v>
      </c>
      <c r="AG9" s="7"/>
      <c r="AH9" s="9">
        <v>0</v>
      </c>
      <c r="AI9" s="7"/>
      <c r="AJ9" s="9">
        <v>0</v>
      </c>
      <c r="AK9" s="7"/>
      <c r="AL9" s="9">
        <v>0</v>
      </c>
      <c r="AM9" s="7"/>
      <c r="AN9" s="9">
        <v>0</v>
      </c>
      <c r="AO9" s="7"/>
      <c r="AP9" s="9">
        <v>0</v>
      </c>
      <c r="AQ9" s="7"/>
      <c r="AR9" s="9">
        <v>0</v>
      </c>
      <c r="AS9" s="7"/>
      <c r="AT9" s="9">
        <v>0</v>
      </c>
      <c r="AU9" s="7"/>
      <c r="AV9" s="9">
        <v>0</v>
      </c>
      <c r="AW9" s="7"/>
      <c r="AX9" s="9">
        <v>0</v>
      </c>
      <c r="AY9" s="7"/>
      <c r="AZ9" s="9">
        <v>112.77</v>
      </c>
      <c r="BA9" s="7"/>
      <c r="BB9" s="9">
        <v>122.37</v>
      </c>
      <c r="BC9" s="7"/>
      <c r="BD9" s="9">
        <v>127.66</v>
      </c>
      <c r="BE9" s="7"/>
      <c r="BF9" s="9">
        <v>127.51</v>
      </c>
      <c r="BG9" s="7"/>
      <c r="BH9" s="9">
        <v>127.56</v>
      </c>
      <c r="BI9" s="7"/>
      <c r="BJ9" s="9">
        <v>142.76</v>
      </c>
      <c r="BK9" s="7"/>
      <c r="BL9" s="9">
        <v>142.49</v>
      </c>
      <c r="BM9" s="7"/>
      <c r="BN9" s="9">
        <v>141.12</v>
      </c>
    </row>
    <row r="10" spans="1:66" outlineLevel="1" x14ac:dyDescent="0.35">
      <c r="A10" s="2"/>
      <c r="B10" s="2"/>
      <c r="C10" s="2"/>
      <c r="D10" s="2"/>
      <c r="E10" s="2" t="s">
        <v>15</v>
      </c>
      <c r="F10" s="2"/>
      <c r="G10" s="2"/>
      <c r="H10" s="6">
        <f>ROUND(SUM(H4:H9),5)</f>
        <v>19786.72</v>
      </c>
      <c r="I10" s="7"/>
      <c r="J10" s="6">
        <f>ROUND(SUM(J4:J9),5)</f>
        <v>18899.400000000001</v>
      </c>
      <c r="K10" s="7"/>
      <c r="L10" s="6">
        <f>ROUND(SUM(L4:L9),5)</f>
        <v>19485.87</v>
      </c>
      <c r="M10" s="7"/>
      <c r="N10" s="6">
        <f>ROUND(SUM(N4:N9),5)</f>
        <v>20720.3</v>
      </c>
      <c r="O10" s="7"/>
      <c r="P10" s="6">
        <f>ROUND(SUM(P4:P9),5)</f>
        <v>15009.19</v>
      </c>
      <c r="Q10" s="7"/>
      <c r="R10" s="6">
        <f>ROUND(SUM(R4:R9),5)</f>
        <v>16153.63</v>
      </c>
      <c r="S10" s="7"/>
      <c r="T10" s="6">
        <f>ROUND(SUM(T4:T9),5)</f>
        <v>17200.599999999999</v>
      </c>
      <c r="U10" s="7"/>
      <c r="V10" s="6">
        <f>ROUND(SUM(V4:V9),5)</f>
        <v>16271.01</v>
      </c>
      <c r="W10" s="7"/>
      <c r="X10" s="6">
        <f>ROUND(SUM(X4:X9),5)</f>
        <v>15820.82</v>
      </c>
      <c r="Y10" s="7"/>
      <c r="Z10" s="6">
        <f>ROUND(SUM(Z4:Z9),5)</f>
        <v>16216.1</v>
      </c>
      <c r="AA10" s="7"/>
      <c r="AB10" s="6">
        <f>ROUND(SUM(AB4:AB9),5)</f>
        <v>16732.21</v>
      </c>
      <c r="AC10" s="7"/>
      <c r="AD10" s="6">
        <f>ROUND(SUM(AD4:AD9),5)</f>
        <v>17802.46</v>
      </c>
      <c r="AE10" s="7"/>
      <c r="AF10" s="6">
        <f>ROUND(SUM(AF4:AF9),5)</f>
        <v>18137.21</v>
      </c>
      <c r="AG10" s="7"/>
      <c r="AH10" s="6">
        <f>ROUND(SUM(AH4:AH9),5)</f>
        <v>20474.71</v>
      </c>
      <c r="AI10" s="7"/>
      <c r="AJ10" s="6">
        <f>ROUND(SUM(AJ4:AJ9),5)</f>
        <v>21891.33</v>
      </c>
      <c r="AK10" s="7"/>
      <c r="AL10" s="6">
        <f>ROUND(SUM(AL4:AL9),5)</f>
        <v>20269.04</v>
      </c>
      <c r="AM10" s="7"/>
      <c r="AN10" s="6">
        <f>ROUND(SUM(AN4:AN9),5)</f>
        <v>15897.93</v>
      </c>
      <c r="AO10" s="7"/>
      <c r="AP10" s="6">
        <f>ROUND(SUM(AP4:AP9),5)</f>
        <v>16288.81</v>
      </c>
      <c r="AQ10" s="7"/>
      <c r="AR10" s="6">
        <f>ROUND(SUM(AR4:AR9),5)</f>
        <v>15932.78</v>
      </c>
      <c r="AS10" s="7"/>
      <c r="AT10" s="6">
        <f>ROUND(SUM(AT4:AT9),5)</f>
        <v>15832.2</v>
      </c>
      <c r="AU10" s="7"/>
      <c r="AV10" s="6">
        <f>ROUND(SUM(AV4:AV9),5)</f>
        <v>16394.09</v>
      </c>
      <c r="AW10" s="7"/>
      <c r="AX10" s="6">
        <f>ROUND(SUM(AX4:AX9),5)</f>
        <v>15976.12</v>
      </c>
      <c r="AY10" s="7"/>
      <c r="AZ10" s="6">
        <f>ROUND(SUM(AZ4:AZ9),5)</f>
        <v>16061.37</v>
      </c>
      <c r="BA10" s="7"/>
      <c r="BB10" s="6">
        <f>ROUND(SUM(BB4:BB9),5)</f>
        <v>19113.95</v>
      </c>
      <c r="BC10" s="7"/>
      <c r="BD10" s="6">
        <f>ROUND(SUM(BD4:BD9),5)</f>
        <v>21592.45</v>
      </c>
      <c r="BE10" s="7"/>
      <c r="BF10" s="6">
        <f>ROUND(SUM(BF4:BF9),5)</f>
        <v>22766.61</v>
      </c>
      <c r="BG10" s="7"/>
      <c r="BH10" s="6">
        <f>ROUND(SUM(BH4:BH9),5)</f>
        <v>25519.54</v>
      </c>
      <c r="BI10" s="7"/>
      <c r="BJ10" s="6">
        <f>ROUND(SUM(BJ4:BJ9),5)</f>
        <v>23162.82</v>
      </c>
      <c r="BK10" s="7"/>
      <c r="BL10" s="6">
        <f>ROUND(SUM(BL4:BL9),5)</f>
        <v>17832.89</v>
      </c>
      <c r="BM10" s="7"/>
      <c r="BN10" s="6">
        <f>ROUND(SUM(BN4:BN9),5)</f>
        <v>18583.509999999998</v>
      </c>
    </row>
    <row r="11" spans="1:66" outlineLevel="1" x14ac:dyDescent="0.35">
      <c r="A11" s="2"/>
      <c r="B11" s="2"/>
      <c r="C11" s="2"/>
      <c r="D11" s="2"/>
      <c r="E11" s="2" t="s">
        <v>25</v>
      </c>
      <c r="F11" s="2"/>
      <c r="G11" s="2"/>
      <c r="H11" s="6">
        <v>987.08</v>
      </c>
      <c r="I11" s="7"/>
      <c r="J11" s="6">
        <v>990.1</v>
      </c>
      <c r="K11" s="7"/>
      <c r="L11" s="6">
        <v>977.03</v>
      </c>
      <c r="M11" s="7"/>
      <c r="N11" s="6">
        <v>999.86</v>
      </c>
      <c r="O11" s="7"/>
      <c r="P11" s="6">
        <v>839.46</v>
      </c>
      <c r="Q11" s="7"/>
      <c r="R11" s="6">
        <v>806.39</v>
      </c>
      <c r="S11" s="7"/>
      <c r="T11" s="6">
        <v>863.51</v>
      </c>
      <c r="U11" s="7"/>
      <c r="V11" s="6">
        <v>819.28</v>
      </c>
      <c r="W11" s="7"/>
      <c r="X11" s="6">
        <v>787.65</v>
      </c>
      <c r="Y11" s="7"/>
      <c r="Z11" s="6">
        <v>818.25</v>
      </c>
      <c r="AA11" s="7"/>
      <c r="AB11" s="6">
        <v>841.61</v>
      </c>
      <c r="AC11" s="7"/>
      <c r="AD11" s="6">
        <v>894.57</v>
      </c>
      <c r="AE11" s="7"/>
      <c r="AF11" s="6">
        <v>914.54</v>
      </c>
      <c r="AG11" s="7"/>
      <c r="AH11" s="6">
        <v>1044.77</v>
      </c>
      <c r="AI11" s="7"/>
      <c r="AJ11" s="6">
        <v>1112.95</v>
      </c>
      <c r="AK11" s="7"/>
      <c r="AL11" s="6">
        <v>1016.13</v>
      </c>
      <c r="AM11" s="7"/>
      <c r="AN11" s="6">
        <v>815.59</v>
      </c>
      <c r="AO11" s="7"/>
      <c r="AP11" s="6">
        <v>825.62</v>
      </c>
      <c r="AQ11" s="7"/>
      <c r="AR11" s="6">
        <v>801.37</v>
      </c>
      <c r="AS11" s="7"/>
      <c r="AT11" s="6">
        <v>796.36</v>
      </c>
      <c r="AU11" s="7"/>
      <c r="AV11" s="6">
        <v>824.47</v>
      </c>
      <c r="AW11" s="7"/>
      <c r="AX11" s="6">
        <v>804.92</v>
      </c>
      <c r="AY11" s="7"/>
      <c r="AZ11" s="6">
        <v>802.19</v>
      </c>
      <c r="BA11" s="7"/>
      <c r="BB11" s="6">
        <v>955.12</v>
      </c>
      <c r="BC11" s="7"/>
      <c r="BD11" s="6">
        <v>1021.52</v>
      </c>
      <c r="BE11" s="7"/>
      <c r="BF11" s="6">
        <v>1087.8599999999999</v>
      </c>
      <c r="BG11" s="7"/>
      <c r="BH11" s="6">
        <v>1226.1600000000001</v>
      </c>
      <c r="BI11" s="7"/>
      <c r="BJ11" s="6">
        <v>1102.1199999999999</v>
      </c>
      <c r="BK11" s="7"/>
      <c r="BL11" s="6">
        <v>842.36</v>
      </c>
      <c r="BM11" s="7"/>
      <c r="BN11" s="6">
        <v>873.08</v>
      </c>
    </row>
    <row r="12" spans="1:66" outlineLevel="2" x14ac:dyDescent="0.35">
      <c r="A12" s="2"/>
      <c r="B12" s="2"/>
      <c r="C12" s="2"/>
      <c r="D12" s="2"/>
      <c r="E12" s="2" t="s">
        <v>26</v>
      </c>
      <c r="F12" s="2"/>
      <c r="G12" s="2"/>
      <c r="H12" s="6"/>
      <c r="I12" s="7"/>
      <c r="J12" s="6"/>
      <c r="K12" s="7"/>
      <c r="L12" s="6"/>
      <c r="M12" s="7"/>
      <c r="N12" s="6"/>
      <c r="O12" s="7"/>
      <c r="P12" s="6"/>
      <c r="Q12" s="7"/>
      <c r="R12" s="6"/>
      <c r="S12" s="7"/>
      <c r="T12" s="6"/>
      <c r="U12" s="7"/>
      <c r="V12" s="6"/>
      <c r="W12" s="7"/>
      <c r="X12" s="6"/>
      <c r="Y12" s="7"/>
      <c r="Z12" s="6"/>
      <c r="AA12" s="7"/>
      <c r="AB12" s="6"/>
      <c r="AC12" s="7"/>
      <c r="AD12" s="6"/>
      <c r="AE12" s="7"/>
      <c r="AF12" s="6"/>
      <c r="AG12" s="7"/>
      <c r="AH12" s="6"/>
      <c r="AI12" s="7"/>
      <c r="AJ12" s="6"/>
      <c r="AK12" s="7"/>
      <c r="AL12" s="6"/>
      <c r="AM12" s="7"/>
      <c r="AN12" s="6"/>
      <c r="AO12" s="7"/>
      <c r="AP12" s="6"/>
      <c r="AQ12" s="7"/>
      <c r="AR12" s="6"/>
      <c r="AS12" s="7"/>
      <c r="AT12" s="6"/>
      <c r="AU12" s="7"/>
      <c r="AV12" s="6"/>
      <c r="AW12" s="7"/>
      <c r="AX12" s="6"/>
      <c r="AY12" s="7"/>
      <c r="AZ12" s="6"/>
      <c r="BA12" s="7"/>
      <c r="BB12" s="6"/>
      <c r="BC12" s="7"/>
      <c r="BD12" s="6"/>
      <c r="BE12" s="7"/>
      <c r="BF12" s="6"/>
      <c r="BG12" s="7"/>
      <c r="BH12" s="6"/>
      <c r="BI12" s="7"/>
      <c r="BJ12" s="6"/>
      <c r="BK12" s="7"/>
      <c r="BL12" s="6"/>
      <c r="BM12" s="7"/>
      <c r="BN12" s="6"/>
    </row>
    <row r="13" spans="1:66" outlineLevel="2" x14ac:dyDescent="0.35">
      <c r="A13" s="2"/>
      <c r="B13" s="2"/>
      <c r="C13" s="2"/>
      <c r="D13" s="2"/>
      <c r="E13" s="2"/>
      <c r="F13" s="2" t="s">
        <v>27</v>
      </c>
      <c r="G13" s="2"/>
      <c r="H13" s="6">
        <v>0</v>
      </c>
      <c r="I13" s="7"/>
      <c r="J13" s="6">
        <v>0</v>
      </c>
      <c r="K13" s="7"/>
      <c r="L13" s="6">
        <v>0</v>
      </c>
      <c r="M13" s="7"/>
      <c r="N13" s="6">
        <v>0</v>
      </c>
      <c r="O13" s="7"/>
      <c r="P13" s="6">
        <v>0</v>
      </c>
      <c r="Q13" s="7"/>
      <c r="R13" s="6">
        <v>0</v>
      </c>
      <c r="S13" s="7"/>
      <c r="T13" s="6">
        <v>0</v>
      </c>
      <c r="U13" s="7"/>
      <c r="V13" s="6">
        <v>0</v>
      </c>
      <c r="W13" s="7"/>
      <c r="X13" s="6">
        <v>0</v>
      </c>
      <c r="Y13" s="7"/>
      <c r="Z13" s="6">
        <v>0</v>
      </c>
      <c r="AA13" s="7"/>
      <c r="AB13" s="6">
        <v>0</v>
      </c>
      <c r="AC13" s="7"/>
      <c r="AD13" s="6">
        <v>0</v>
      </c>
      <c r="AE13" s="7"/>
      <c r="AF13" s="6">
        <v>0</v>
      </c>
      <c r="AG13" s="7"/>
      <c r="AH13" s="6">
        <v>202.25</v>
      </c>
      <c r="AI13" s="7"/>
      <c r="AJ13" s="6">
        <v>0</v>
      </c>
      <c r="AK13" s="7"/>
      <c r="AL13" s="6">
        <v>0</v>
      </c>
      <c r="AM13" s="7"/>
      <c r="AN13" s="6">
        <v>0</v>
      </c>
      <c r="AO13" s="7"/>
      <c r="AP13" s="6">
        <v>0</v>
      </c>
      <c r="AQ13" s="7"/>
      <c r="AR13" s="6">
        <v>0</v>
      </c>
      <c r="AS13" s="7"/>
      <c r="AT13" s="6">
        <v>0</v>
      </c>
      <c r="AU13" s="7"/>
      <c r="AV13" s="6">
        <v>0</v>
      </c>
      <c r="AW13" s="7"/>
      <c r="AX13" s="6">
        <v>115</v>
      </c>
      <c r="AY13" s="7"/>
      <c r="AZ13" s="6">
        <v>0</v>
      </c>
      <c r="BA13" s="7"/>
      <c r="BB13" s="6">
        <v>0</v>
      </c>
      <c r="BC13" s="7"/>
      <c r="BD13" s="6">
        <v>0</v>
      </c>
      <c r="BE13" s="7"/>
      <c r="BF13" s="6">
        <v>120</v>
      </c>
      <c r="BG13" s="7"/>
      <c r="BH13" s="6">
        <v>0</v>
      </c>
      <c r="BI13" s="7"/>
      <c r="BJ13" s="6">
        <v>0</v>
      </c>
      <c r="BK13" s="7"/>
      <c r="BL13" s="6">
        <v>0</v>
      </c>
      <c r="BM13" s="7"/>
      <c r="BN13" s="6">
        <v>0</v>
      </c>
    </row>
    <row r="14" spans="1:66" outlineLevel="2" x14ac:dyDescent="0.35">
      <c r="A14" s="2"/>
      <c r="B14" s="2"/>
      <c r="C14" s="2"/>
      <c r="D14" s="2"/>
      <c r="E14" s="2"/>
      <c r="F14" s="2" t="s">
        <v>28</v>
      </c>
      <c r="G14" s="2"/>
      <c r="H14" s="6">
        <v>0</v>
      </c>
      <c r="I14" s="7"/>
      <c r="J14" s="6">
        <v>30</v>
      </c>
      <c r="K14" s="7"/>
      <c r="L14" s="6">
        <v>0</v>
      </c>
      <c r="M14" s="7"/>
      <c r="N14" s="6">
        <v>40</v>
      </c>
      <c r="O14" s="7"/>
      <c r="P14" s="6">
        <v>0</v>
      </c>
      <c r="Q14" s="7"/>
      <c r="R14" s="6">
        <v>0</v>
      </c>
      <c r="S14" s="7"/>
      <c r="T14" s="6">
        <v>30</v>
      </c>
      <c r="U14" s="7"/>
      <c r="V14" s="6">
        <v>0</v>
      </c>
      <c r="W14" s="7"/>
      <c r="X14" s="6">
        <v>30</v>
      </c>
      <c r="Y14" s="7"/>
      <c r="Z14" s="6">
        <v>30</v>
      </c>
      <c r="AA14" s="7"/>
      <c r="AB14" s="6">
        <v>0</v>
      </c>
      <c r="AC14" s="7"/>
      <c r="AD14" s="6">
        <v>0</v>
      </c>
      <c r="AE14" s="7"/>
      <c r="AF14" s="6">
        <v>30</v>
      </c>
      <c r="AG14" s="7"/>
      <c r="AH14" s="6">
        <v>0</v>
      </c>
      <c r="AI14" s="7"/>
      <c r="AJ14" s="6">
        <v>126</v>
      </c>
      <c r="AK14" s="7"/>
      <c r="AL14" s="6">
        <v>0</v>
      </c>
      <c r="AM14" s="7"/>
      <c r="AN14" s="6">
        <v>0</v>
      </c>
      <c r="AO14" s="7"/>
      <c r="AP14" s="6">
        <v>30</v>
      </c>
      <c r="AQ14" s="7"/>
      <c r="AR14" s="6">
        <v>0</v>
      </c>
      <c r="AS14" s="7"/>
      <c r="AT14" s="6">
        <v>30</v>
      </c>
      <c r="AU14" s="7"/>
      <c r="AV14" s="6">
        <v>0</v>
      </c>
      <c r="AW14" s="7"/>
      <c r="AX14" s="6">
        <v>0</v>
      </c>
      <c r="AY14" s="7"/>
      <c r="AZ14" s="6">
        <v>0</v>
      </c>
      <c r="BA14" s="7"/>
      <c r="BB14" s="6">
        <v>30</v>
      </c>
      <c r="BC14" s="7"/>
      <c r="BD14" s="6">
        <v>0</v>
      </c>
      <c r="BE14" s="7"/>
      <c r="BF14" s="6">
        <v>30</v>
      </c>
      <c r="BG14" s="7"/>
      <c r="BH14" s="6">
        <v>0</v>
      </c>
      <c r="BI14" s="7"/>
      <c r="BJ14" s="6">
        <v>0</v>
      </c>
      <c r="BK14" s="7"/>
      <c r="BL14" s="6">
        <v>30</v>
      </c>
      <c r="BM14" s="7"/>
      <c r="BN14" s="6">
        <v>0</v>
      </c>
    </row>
    <row r="15" spans="1:66" ht="15" outlineLevel="2" thickBot="1" x14ac:dyDescent="0.4">
      <c r="A15" s="2"/>
      <c r="B15" s="2"/>
      <c r="C15" s="2"/>
      <c r="D15" s="2"/>
      <c r="E15" s="2"/>
      <c r="F15" s="2" t="s">
        <v>90</v>
      </c>
      <c r="G15" s="2"/>
      <c r="H15" s="9">
        <v>0</v>
      </c>
      <c r="I15" s="7"/>
      <c r="J15" s="9">
        <v>0</v>
      </c>
      <c r="K15" s="7"/>
      <c r="L15" s="9">
        <v>0</v>
      </c>
      <c r="M15" s="7"/>
      <c r="N15" s="9">
        <v>0</v>
      </c>
      <c r="O15" s="7"/>
      <c r="P15" s="9">
        <v>0</v>
      </c>
      <c r="Q15" s="7"/>
      <c r="R15" s="9">
        <v>0</v>
      </c>
      <c r="S15" s="7"/>
      <c r="T15" s="9">
        <v>0</v>
      </c>
      <c r="U15" s="7"/>
      <c r="V15" s="9">
        <v>0</v>
      </c>
      <c r="W15" s="7"/>
      <c r="X15" s="9">
        <v>0</v>
      </c>
      <c r="Y15" s="7"/>
      <c r="Z15" s="9">
        <v>0</v>
      </c>
      <c r="AA15" s="7"/>
      <c r="AB15" s="9">
        <v>0</v>
      </c>
      <c r="AC15" s="7"/>
      <c r="AD15" s="9">
        <v>950</v>
      </c>
      <c r="AE15" s="7"/>
      <c r="AF15" s="9">
        <v>0</v>
      </c>
      <c r="AG15" s="7"/>
      <c r="AH15" s="9">
        <v>0</v>
      </c>
      <c r="AI15" s="7"/>
      <c r="AJ15" s="9">
        <v>0</v>
      </c>
      <c r="AK15" s="7"/>
      <c r="AL15" s="9">
        <v>0</v>
      </c>
      <c r="AM15" s="7"/>
      <c r="AN15" s="9">
        <v>0</v>
      </c>
      <c r="AO15" s="7"/>
      <c r="AP15" s="9">
        <v>0</v>
      </c>
      <c r="AQ15" s="7"/>
      <c r="AR15" s="9">
        <v>0</v>
      </c>
      <c r="AS15" s="7"/>
      <c r="AT15" s="9">
        <v>0</v>
      </c>
      <c r="AU15" s="7"/>
      <c r="AV15" s="9">
        <v>0</v>
      </c>
      <c r="AW15" s="7"/>
      <c r="AX15" s="9">
        <v>0</v>
      </c>
      <c r="AY15" s="7"/>
      <c r="AZ15" s="9">
        <v>0</v>
      </c>
      <c r="BA15" s="7"/>
      <c r="BB15" s="9">
        <v>0</v>
      </c>
      <c r="BC15" s="7"/>
      <c r="BD15" s="9">
        <v>0</v>
      </c>
      <c r="BE15" s="7"/>
      <c r="BF15" s="9">
        <v>0</v>
      </c>
      <c r="BG15" s="7"/>
      <c r="BH15" s="9">
        <v>0</v>
      </c>
      <c r="BI15" s="7"/>
      <c r="BJ15" s="9">
        <v>0</v>
      </c>
      <c r="BK15" s="7"/>
      <c r="BL15" s="9">
        <v>0</v>
      </c>
      <c r="BM15" s="7"/>
      <c r="BN15" s="9">
        <v>0</v>
      </c>
    </row>
    <row r="16" spans="1:66" outlineLevel="1" x14ac:dyDescent="0.35">
      <c r="A16" s="2"/>
      <c r="B16" s="2"/>
      <c r="C16" s="2"/>
      <c r="D16" s="2"/>
      <c r="E16" s="2" t="s">
        <v>29</v>
      </c>
      <c r="F16" s="2"/>
      <c r="G16" s="2"/>
      <c r="H16" s="6">
        <f>ROUND(SUM(H12:H15),5)</f>
        <v>0</v>
      </c>
      <c r="I16" s="7"/>
      <c r="J16" s="6">
        <f>ROUND(SUM(J12:J15),5)</f>
        <v>30</v>
      </c>
      <c r="K16" s="7"/>
      <c r="L16" s="6">
        <f>ROUND(SUM(L12:L15),5)</f>
        <v>0</v>
      </c>
      <c r="M16" s="7"/>
      <c r="N16" s="6">
        <f>ROUND(SUM(N12:N15),5)</f>
        <v>40</v>
      </c>
      <c r="O16" s="7"/>
      <c r="P16" s="6">
        <f>ROUND(SUM(P12:P15),5)</f>
        <v>0</v>
      </c>
      <c r="Q16" s="7"/>
      <c r="R16" s="6">
        <f>ROUND(SUM(R12:R15),5)</f>
        <v>0</v>
      </c>
      <c r="S16" s="7"/>
      <c r="T16" s="6">
        <f>ROUND(SUM(T12:T15),5)</f>
        <v>30</v>
      </c>
      <c r="U16" s="7"/>
      <c r="V16" s="6">
        <f>ROUND(SUM(V12:V15),5)</f>
        <v>0</v>
      </c>
      <c r="W16" s="7"/>
      <c r="X16" s="6">
        <f>ROUND(SUM(X12:X15),5)</f>
        <v>30</v>
      </c>
      <c r="Y16" s="7"/>
      <c r="Z16" s="6">
        <f>ROUND(SUM(Z12:Z15),5)</f>
        <v>30</v>
      </c>
      <c r="AA16" s="7"/>
      <c r="AB16" s="6">
        <f>ROUND(SUM(AB12:AB15),5)</f>
        <v>0</v>
      </c>
      <c r="AC16" s="7"/>
      <c r="AD16" s="6">
        <f>ROUND(SUM(AD12:AD15),5)</f>
        <v>950</v>
      </c>
      <c r="AE16" s="7"/>
      <c r="AF16" s="6">
        <f>ROUND(SUM(AF12:AF15),5)</f>
        <v>30</v>
      </c>
      <c r="AG16" s="7"/>
      <c r="AH16" s="6">
        <f>ROUND(SUM(AH12:AH15),5)</f>
        <v>202.25</v>
      </c>
      <c r="AI16" s="7"/>
      <c r="AJ16" s="6">
        <f>ROUND(SUM(AJ12:AJ15),5)</f>
        <v>126</v>
      </c>
      <c r="AK16" s="7"/>
      <c r="AL16" s="6">
        <f>ROUND(SUM(AL12:AL15),5)</f>
        <v>0</v>
      </c>
      <c r="AM16" s="7"/>
      <c r="AN16" s="6">
        <f>ROUND(SUM(AN12:AN15),5)</f>
        <v>0</v>
      </c>
      <c r="AO16" s="7"/>
      <c r="AP16" s="6">
        <f>ROUND(SUM(AP12:AP15),5)</f>
        <v>30</v>
      </c>
      <c r="AQ16" s="7"/>
      <c r="AR16" s="6">
        <f>ROUND(SUM(AR12:AR15),5)</f>
        <v>0</v>
      </c>
      <c r="AS16" s="7"/>
      <c r="AT16" s="6">
        <f>ROUND(SUM(AT12:AT15),5)</f>
        <v>30</v>
      </c>
      <c r="AU16" s="7"/>
      <c r="AV16" s="6">
        <f>ROUND(SUM(AV12:AV15),5)</f>
        <v>0</v>
      </c>
      <c r="AW16" s="7"/>
      <c r="AX16" s="6">
        <f>ROUND(SUM(AX12:AX15),5)</f>
        <v>115</v>
      </c>
      <c r="AY16" s="7"/>
      <c r="AZ16" s="6">
        <f>ROUND(SUM(AZ12:AZ15),5)</f>
        <v>0</v>
      </c>
      <c r="BA16" s="7"/>
      <c r="BB16" s="6">
        <f>ROUND(SUM(BB12:BB15),5)</f>
        <v>30</v>
      </c>
      <c r="BC16" s="7"/>
      <c r="BD16" s="6">
        <f>ROUND(SUM(BD12:BD15),5)</f>
        <v>0</v>
      </c>
      <c r="BE16" s="7"/>
      <c r="BF16" s="6">
        <f>ROUND(SUM(BF12:BF15),5)</f>
        <v>150</v>
      </c>
      <c r="BG16" s="7"/>
      <c r="BH16" s="6">
        <f>ROUND(SUM(BH12:BH15),5)</f>
        <v>0</v>
      </c>
      <c r="BI16" s="7"/>
      <c r="BJ16" s="6">
        <f>ROUND(SUM(BJ12:BJ15),5)</f>
        <v>0</v>
      </c>
      <c r="BK16" s="7"/>
      <c r="BL16" s="6">
        <f>ROUND(SUM(BL12:BL15),5)</f>
        <v>30</v>
      </c>
      <c r="BM16" s="7"/>
      <c r="BN16" s="6">
        <f>ROUND(SUM(BN12:BN15),5)</f>
        <v>0</v>
      </c>
    </row>
    <row r="17" spans="1:66" ht="15" outlineLevel="1" thickBot="1" x14ac:dyDescent="0.4">
      <c r="A17" s="2"/>
      <c r="B17" s="2"/>
      <c r="C17" s="2"/>
      <c r="D17" s="2"/>
      <c r="E17" s="2" t="s">
        <v>125</v>
      </c>
      <c r="F17" s="2"/>
      <c r="G17" s="2"/>
      <c r="H17" s="6">
        <v>0</v>
      </c>
      <c r="I17" s="7"/>
      <c r="J17" s="6">
        <v>0</v>
      </c>
      <c r="K17" s="7"/>
      <c r="L17" s="6">
        <v>0</v>
      </c>
      <c r="M17" s="7"/>
      <c r="N17" s="6">
        <v>0</v>
      </c>
      <c r="O17" s="7"/>
      <c r="P17" s="6">
        <v>0</v>
      </c>
      <c r="Q17" s="7"/>
      <c r="R17" s="6">
        <v>0</v>
      </c>
      <c r="S17" s="7"/>
      <c r="T17" s="6">
        <v>0</v>
      </c>
      <c r="U17" s="7"/>
      <c r="V17" s="6">
        <v>0</v>
      </c>
      <c r="W17" s="7"/>
      <c r="X17" s="6">
        <v>0</v>
      </c>
      <c r="Y17" s="7"/>
      <c r="Z17" s="6">
        <v>0</v>
      </c>
      <c r="AA17" s="7"/>
      <c r="AB17" s="6">
        <v>0</v>
      </c>
      <c r="AC17" s="7"/>
      <c r="AD17" s="6">
        <v>0</v>
      </c>
      <c r="AE17" s="7"/>
      <c r="AF17" s="6">
        <v>0</v>
      </c>
      <c r="AG17" s="7"/>
      <c r="AH17" s="6">
        <v>0</v>
      </c>
      <c r="AI17" s="7"/>
      <c r="AJ17" s="6">
        <v>0</v>
      </c>
      <c r="AK17" s="7"/>
      <c r="AL17" s="6">
        <v>0</v>
      </c>
      <c r="AM17" s="7"/>
      <c r="AN17" s="6">
        <v>0</v>
      </c>
      <c r="AO17" s="7"/>
      <c r="AP17" s="6">
        <v>0</v>
      </c>
      <c r="AQ17" s="7"/>
      <c r="AR17" s="6">
        <v>0</v>
      </c>
      <c r="AS17" s="7"/>
      <c r="AT17" s="6">
        <v>0</v>
      </c>
      <c r="AU17" s="7"/>
      <c r="AV17" s="6">
        <v>0</v>
      </c>
      <c r="AW17" s="7"/>
      <c r="AX17" s="6">
        <v>0</v>
      </c>
      <c r="AY17" s="7"/>
      <c r="AZ17" s="6">
        <v>0</v>
      </c>
      <c r="BA17" s="7"/>
      <c r="BB17" s="6">
        <v>0</v>
      </c>
      <c r="BC17" s="7"/>
      <c r="BD17" s="6">
        <v>0</v>
      </c>
      <c r="BE17" s="7"/>
      <c r="BF17" s="6">
        <v>0</v>
      </c>
      <c r="BG17" s="7"/>
      <c r="BH17" s="6">
        <v>0</v>
      </c>
      <c r="BI17" s="7"/>
      <c r="BJ17" s="6">
        <v>0</v>
      </c>
      <c r="BK17" s="7"/>
      <c r="BL17" s="6">
        <v>0</v>
      </c>
      <c r="BM17" s="7"/>
      <c r="BN17" s="6">
        <v>0</v>
      </c>
    </row>
    <row r="18" spans="1:66" ht="15" thickBot="1" x14ac:dyDescent="0.4">
      <c r="A18" s="2"/>
      <c r="B18" s="2"/>
      <c r="C18" s="2"/>
      <c r="D18" s="2" t="s">
        <v>31</v>
      </c>
      <c r="E18" s="2"/>
      <c r="F18" s="2"/>
      <c r="G18" s="2"/>
      <c r="H18" s="11">
        <f>ROUND(H3+SUM(H10:H11)+SUM(H16:H17),5)</f>
        <v>20773.8</v>
      </c>
      <c r="I18" s="7"/>
      <c r="J18" s="11">
        <f>ROUND(J3+SUM(J10:J11)+SUM(J16:J17),5)</f>
        <v>19919.5</v>
      </c>
      <c r="K18" s="7"/>
      <c r="L18" s="11">
        <f>ROUND(L3+SUM(L10:L11)+SUM(L16:L17),5)</f>
        <v>20462.900000000001</v>
      </c>
      <c r="M18" s="7"/>
      <c r="N18" s="11">
        <f>ROUND(N3+SUM(N10:N11)+SUM(N16:N17),5)</f>
        <v>21760.16</v>
      </c>
      <c r="O18" s="7"/>
      <c r="P18" s="11">
        <f>ROUND(P3+SUM(P10:P11)+SUM(P16:P17),5)</f>
        <v>15848.65</v>
      </c>
      <c r="Q18" s="7"/>
      <c r="R18" s="11">
        <f>ROUND(R3+SUM(R10:R11)+SUM(R16:R17),5)</f>
        <v>16960.02</v>
      </c>
      <c r="S18" s="7"/>
      <c r="T18" s="11">
        <f>ROUND(T3+SUM(T10:T11)+SUM(T16:T17),5)</f>
        <v>18094.11</v>
      </c>
      <c r="U18" s="7"/>
      <c r="V18" s="11">
        <f>ROUND(V3+SUM(V10:V11)+SUM(V16:V17),5)</f>
        <v>17090.29</v>
      </c>
      <c r="W18" s="7"/>
      <c r="X18" s="11">
        <f>ROUND(X3+SUM(X10:X11)+SUM(X16:X17),5)</f>
        <v>16638.47</v>
      </c>
      <c r="Y18" s="7"/>
      <c r="Z18" s="11">
        <f>ROUND(Z3+SUM(Z10:Z11)+SUM(Z16:Z17),5)</f>
        <v>17064.349999999999</v>
      </c>
      <c r="AA18" s="7"/>
      <c r="AB18" s="11">
        <f>ROUND(AB3+SUM(AB10:AB11)+SUM(AB16:AB17),5)</f>
        <v>17573.82</v>
      </c>
      <c r="AC18" s="7"/>
      <c r="AD18" s="11">
        <f>ROUND(AD3+SUM(AD10:AD11)+SUM(AD16:AD17),5)</f>
        <v>19647.03</v>
      </c>
      <c r="AE18" s="7"/>
      <c r="AF18" s="11">
        <f>ROUND(AF3+SUM(AF10:AF11)+SUM(AF16:AF17),5)</f>
        <v>19081.75</v>
      </c>
      <c r="AG18" s="7"/>
      <c r="AH18" s="11">
        <f>ROUND(AH3+SUM(AH10:AH11)+SUM(AH16:AH17),5)</f>
        <v>21721.73</v>
      </c>
      <c r="AI18" s="7"/>
      <c r="AJ18" s="11">
        <f>ROUND(AJ3+SUM(AJ10:AJ11)+SUM(AJ16:AJ17),5)</f>
        <v>23130.28</v>
      </c>
      <c r="AK18" s="7"/>
      <c r="AL18" s="11">
        <f>ROUND(AL3+SUM(AL10:AL11)+SUM(AL16:AL17),5)</f>
        <v>21285.17</v>
      </c>
      <c r="AM18" s="7"/>
      <c r="AN18" s="11">
        <f>ROUND(AN3+SUM(AN10:AN11)+SUM(AN16:AN17),5)</f>
        <v>16713.52</v>
      </c>
      <c r="AO18" s="7"/>
      <c r="AP18" s="11">
        <f>ROUND(AP3+SUM(AP10:AP11)+SUM(AP16:AP17),5)</f>
        <v>17144.43</v>
      </c>
      <c r="AQ18" s="7"/>
      <c r="AR18" s="11">
        <f>ROUND(AR3+SUM(AR10:AR11)+SUM(AR16:AR17),5)</f>
        <v>16734.150000000001</v>
      </c>
      <c r="AS18" s="7"/>
      <c r="AT18" s="11">
        <f>ROUND(AT3+SUM(AT10:AT11)+SUM(AT16:AT17),5)</f>
        <v>16658.560000000001</v>
      </c>
      <c r="AU18" s="7"/>
      <c r="AV18" s="11">
        <f>ROUND(AV3+SUM(AV10:AV11)+SUM(AV16:AV17),5)</f>
        <v>17218.560000000001</v>
      </c>
      <c r="AW18" s="7"/>
      <c r="AX18" s="11">
        <f>ROUND(AX3+SUM(AX10:AX11)+SUM(AX16:AX17),5)</f>
        <v>16896.04</v>
      </c>
      <c r="AY18" s="7"/>
      <c r="AZ18" s="11">
        <f>ROUND(AZ3+SUM(AZ10:AZ11)+SUM(AZ16:AZ17),5)</f>
        <v>16863.560000000001</v>
      </c>
      <c r="BA18" s="7"/>
      <c r="BB18" s="11">
        <f>ROUND(BB3+SUM(BB10:BB11)+SUM(BB16:BB17),5)</f>
        <v>20099.07</v>
      </c>
      <c r="BC18" s="7"/>
      <c r="BD18" s="11">
        <f>ROUND(BD3+SUM(BD10:BD11)+SUM(BD16:BD17),5)</f>
        <v>22613.97</v>
      </c>
      <c r="BE18" s="7"/>
      <c r="BF18" s="11">
        <f>ROUND(BF3+SUM(BF10:BF11)+SUM(BF16:BF17),5)</f>
        <v>24004.47</v>
      </c>
      <c r="BG18" s="7"/>
      <c r="BH18" s="11">
        <f>ROUND(BH3+SUM(BH10:BH11)+SUM(BH16:BH17),5)</f>
        <v>26745.7</v>
      </c>
      <c r="BI18" s="7"/>
      <c r="BJ18" s="11">
        <f>ROUND(BJ3+SUM(BJ10:BJ11)+SUM(BJ16:BJ17),5)</f>
        <v>24264.94</v>
      </c>
      <c r="BK18" s="7"/>
      <c r="BL18" s="11">
        <f>ROUND(BL3+SUM(BL10:BL11)+SUM(BL16:BL17),5)</f>
        <v>18705.25</v>
      </c>
      <c r="BM18" s="7"/>
      <c r="BN18" s="11">
        <f>ROUND(BN3+SUM(BN10:BN11)+SUM(BN16:BN17),5)</f>
        <v>19456.59</v>
      </c>
    </row>
    <row r="19" spans="1:66" x14ac:dyDescent="0.35">
      <c r="A19" s="2"/>
      <c r="B19" s="2"/>
      <c r="C19" s="2" t="s">
        <v>32</v>
      </c>
      <c r="D19" s="2"/>
      <c r="E19" s="2"/>
      <c r="F19" s="2"/>
      <c r="G19" s="2"/>
      <c r="H19" s="6">
        <f>H18</f>
        <v>20773.8</v>
      </c>
      <c r="I19" s="7"/>
      <c r="J19" s="6">
        <f>J18</f>
        <v>19919.5</v>
      </c>
      <c r="K19" s="7"/>
      <c r="L19" s="6">
        <f>L18</f>
        <v>20462.900000000001</v>
      </c>
      <c r="M19" s="7"/>
      <c r="N19" s="6">
        <f>N18</f>
        <v>21760.16</v>
      </c>
      <c r="O19" s="7"/>
      <c r="P19" s="6">
        <f>P18</f>
        <v>15848.65</v>
      </c>
      <c r="Q19" s="7"/>
      <c r="R19" s="6">
        <f>R18</f>
        <v>16960.02</v>
      </c>
      <c r="S19" s="7"/>
      <c r="T19" s="6">
        <f>T18</f>
        <v>18094.11</v>
      </c>
      <c r="U19" s="7"/>
      <c r="V19" s="6">
        <f>V18</f>
        <v>17090.29</v>
      </c>
      <c r="W19" s="7"/>
      <c r="X19" s="6">
        <f>X18</f>
        <v>16638.47</v>
      </c>
      <c r="Y19" s="7"/>
      <c r="Z19" s="6">
        <f>Z18</f>
        <v>17064.349999999999</v>
      </c>
      <c r="AA19" s="7"/>
      <c r="AB19" s="6">
        <f>AB18</f>
        <v>17573.82</v>
      </c>
      <c r="AC19" s="7"/>
      <c r="AD19" s="6">
        <f>AD18</f>
        <v>19647.03</v>
      </c>
      <c r="AE19" s="7"/>
      <c r="AF19" s="6">
        <f>AF18</f>
        <v>19081.75</v>
      </c>
      <c r="AG19" s="7"/>
      <c r="AH19" s="6">
        <f>AH18</f>
        <v>21721.73</v>
      </c>
      <c r="AI19" s="7"/>
      <c r="AJ19" s="6">
        <f>AJ18</f>
        <v>23130.28</v>
      </c>
      <c r="AK19" s="7"/>
      <c r="AL19" s="6">
        <f>AL18</f>
        <v>21285.17</v>
      </c>
      <c r="AM19" s="7"/>
      <c r="AN19" s="6">
        <f>AN18</f>
        <v>16713.52</v>
      </c>
      <c r="AO19" s="7"/>
      <c r="AP19" s="6">
        <f>AP18</f>
        <v>17144.43</v>
      </c>
      <c r="AQ19" s="7"/>
      <c r="AR19" s="6">
        <f>AR18</f>
        <v>16734.150000000001</v>
      </c>
      <c r="AS19" s="7"/>
      <c r="AT19" s="6">
        <f>AT18</f>
        <v>16658.560000000001</v>
      </c>
      <c r="AU19" s="7"/>
      <c r="AV19" s="6">
        <f>AV18</f>
        <v>17218.560000000001</v>
      </c>
      <c r="AW19" s="7"/>
      <c r="AX19" s="6">
        <f>AX18</f>
        <v>16896.04</v>
      </c>
      <c r="AY19" s="7"/>
      <c r="AZ19" s="6">
        <f>AZ18</f>
        <v>16863.560000000001</v>
      </c>
      <c r="BA19" s="7"/>
      <c r="BB19" s="6">
        <f>BB18</f>
        <v>20099.07</v>
      </c>
      <c r="BC19" s="7"/>
      <c r="BD19" s="6">
        <f>BD18</f>
        <v>22613.97</v>
      </c>
      <c r="BE19" s="7"/>
      <c r="BF19" s="6">
        <f>BF18</f>
        <v>24004.47</v>
      </c>
      <c r="BG19" s="7"/>
      <c r="BH19" s="6">
        <f>BH18</f>
        <v>26745.7</v>
      </c>
      <c r="BI19" s="7"/>
      <c r="BJ19" s="6">
        <f>BJ18</f>
        <v>24264.94</v>
      </c>
      <c r="BK19" s="7"/>
      <c r="BL19" s="6">
        <f>BL18</f>
        <v>18705.25</v>
      </c>
      <c r="BM19" s="7"/>
      <c r="BN19" s="6">
        <f>BN18</f>
        <v>19456.59</v>
      </c>
    </row>
    <row r="20" spans="1:66" outlineLevel="1" x14ac:dyDescent="0.35">
      <c r="A20" s="2"/>
      <c r="B20" s="2"/>
      <c r="C20" s="2"/>
      <c r="D20" s="2" t="s">
        <v>33</v>
      </c>
      <c r="E20" s="2"/>
      <c r="F20" s="2"/>
      <c r="G20" s="2"/>
      <c r="H20" s="6"/>
      <c r="I20" s="7"/>
      <c r="J20" s="6"/>
      <c r="K20" s="7"/>
      <c r="L20" s="6"/>
      <c r="M20" s="7"/>
      <c r="N20" s="6"/>
      <c r="O20" s="7"/>
      <c r="P20" s="6"/>
      <c r="Q20" s="7"/>
      <c r="R20" s="6"/>
      <c r="S20" s="7"/>
      <c r="T20" s="6"/>
      <c r="U20" s="7"/>
      <c r="V20" s="6"/>
      <c r="W20" s="7"/>
      <c r="X20" s="6"/>
      <c r="Y20" s="7"/>
      <c r="Z20" s="6"/>
      <c r="AA20" s="7"/>
      <c r="AB20" s="6"/>
      <c r="AC20" s="7"/>
      <c r="AD20" s="6"/>
      <c r="AE20" s="7"/>
      <c r="AF20" s="6"/>
      <c r="AG20" s="7"/>
      <c r="AH20" s="6"/>
      <c r="AI20" s="7"/>
      <c r="AJ20" s="6"/>
      <c r="AK20" s="7"/>
      <c r="AL20" s="6"/>
      <c r="AM20" s="7"/>
      <c r="AN20" s="6"/>
      <c r="AO20" s="7"/>
      <c r="AP20" s="6"/>
      <c r="AQ20" s="7"/>
      <c r="AR20" s="6"/>
      <c r="AS20" s="7"/>
      <c r="AT20" s="6"/>
      <c r="AU20" s="7"/>
      <c r="AV20" s="6"/>
      <c r="AW20" s="7"/>
      <c r="AX20" s="6"/>
      <c r="AY20" s="7"/>
      <c r="AZ20" s="6"/>
      <c r="BA20" s="7"/>
      <c r="BB20" s="6"/>
      <c r="BC20" s="7"/>
      <c r="BD20" s="6"/>
      <c r="BE20" s="7"/>
      <c r="BF20" s="6"/>
      <c r="BG20" s="7"/>
      <c r="BH20" s="6"/>
      <c r="BI20" s="7"/>
      <c r="BJ20" s="6"/>
      <c r="BK20" s="7"/>
      <c r="BL20" s="6"/>
      <c r="BM20" s="7"/>
      <c r="BN20" s="6"/>
    </row>
    <row r="21" spans="1:66" outlineLevel="1" x14ac:dyDescent="0.35">
      <c r="A21" s="2"/>
      <c r="B21" s="2"/>
      <c r="C21" s="2"/>
      <c r="D21" s="2"/>
      <c r="E21" s="2" t="s">
        <v>34</v>
      </c>
      <c r="F21" s="2"/>
      <c r="G21" s="2"/>
      <c r="H21" s="6">
        <v>8566.7000000000007</v>
      </c>
      <c r="I21" s="7"/>
      <c r="J21" s="6">
        <v>8559.5300000000007</v>
      </c>
      <c r="K21" s="7"/>
      <c r="L21" s="6">
        <v>8616.2099999999991</v>
      </c>
      <c r="M21" s="7"/>
      <c r="N21" s="6">
        <v>8560.69</v>
      </c>
      <c r="O21" s="7"/>
      <c r="P21" s="6">
        <v>8760.2199999999993</v>
      </c>
      <c r="Q21" s="7"/>
      <c r="R21" s="6">
        <v>8506.89</v>
      </c>
      <c r="S21" s="7"/>
      <c r="T21" s="6">
        <v>8586.8700000000008</v>
      </c>
      <c r="U21" s="7"/>
      <c r="V21" s="6">
        <v>8567.31</v>
      </c>
      <c r="W21" s="7"/>
      <c r="X21" s="6">
        <v>8686.94</v>
      </c>
      <c r="Y21" s="7"/>
      <c r="Z21" s="6">
        <v>8558.06</v>
      </c>
      <c r="AA21" s="7"/>
      <c r="AB21" s="6">
        <v>8557</v>
      </c>
      <c r="AC21" s="7"/>
      <c r="AD21" s="6">
        <v>8546.24</v>
      </c>
      <c r="AE21" s="7"/>
      <c r="AF21" s="6">
        <v>8426.0400000000009</v>
      </c>
      <c r="AG21" s="7"/>
      <c r="AH21" s="6">
        <v>8544.39</v>
      </c>
      <c r="AI21" s="7"/>
      <c r="AJ21" s="6">
        <v>8545.49</v>
      </c>
      <c r="AK21" s="7"/>
      <c r="AL21" s="6">
        <v>8545.48</v>
      </c>
      <c r="AM21" s="7"/>
      <c r="AN21" s="6">
        <v>8539.85</v>
      </c>
      <c r="AO21" s="7"/>
      <c r="AP21" s="6">
        <v>8557.5400000000009</v>
      </c>
      <c r="AQ21" s="7"/>
      <c r="AR21" s="6">
        <v>8617.32</v>
      </c>
      <c r="AS21" s="7"/>
      <c r="AT21" s="6">
        <v>8600.36</v>
      </c>
      <c r="AU21" s="7"/>
      <c r="AV21" s="6">
        <v>8480.83</v>
      </c>
      <c r="AW21" s="7"/>
      <c r="AX21" s="6">
        <v>8553.82</v>
      </c>
      <c r="AY21" s="7"/>
      <c r="AZ21" s="6">
        <v>8554.2800000000007</v>
      </c>
      <c r="BA21" s="7"/>
      <c r="BB21" s="6">
        <v>8541.57</v>
      </c>
      <c r="BC21" s="7"/>
      <c r="BD21" s="6">
        <v>9670.69</v>
      </c>
      <c r="BE21" s="7"/>
      <c r="BF21" s="6">
        <v>9662.27</v>
      </c>
      <c r="BG21" s="7"/>
      <c r="BH21" s="6">
        <v>9617.2099999999991</v>
      </c>
      <c r="BI21" s="7"/>
      <c r="BJ21" s="6">
        <v>9830.5300000000007</v>
      </c>
      <c r="BK21" s="7"/>
      <c r="BL21" s="6">
        <v>13135.95</v>
      </c>
      <c r="BM21" s="7"/>
      <c r="BN21" s="6">
        <v>9947.76</v>
      </c>
    </row>
    <row r="22" spans="1:66" outlineLevel="2" x14ac:dyDescent="0.35">
      <c r="A22" s="2"/>
      <c r="B22" s="2"/>
      <c r="C22" s="2"/>
      <c r="D22" s="2"/>
      <c r="E22" s="2" t="s">
        <v>35</v>
      </c>
      <c r="F22" s="2"/>
      <c r="G22" s="2"/>
      <c r="H22" s="6"/>
      <c r="I22" s="7"/>
      <c r="J22" s="6"/>
      <c r="K22" s="7"/>
      <c r="L22" s="6"/>
      <c r="M22" s="7"/>
      <c r="N22" s="6"/>
      <c r="O22" s="7"/>
      <c r="P22" s="6"/>
      <c r="Q22" s="7"/>
      <c r="R22" s="6"/>
      <c r="S22" s="7"/>
      <c r="T22" s="6"/>
      <c r="U22" s="7"/>
      <c r="V22" s="6"/>
      <c r="W22" s="7"/>
      <c r="X22" s="6"/>
      <c r="Y22" s="7"/>
      <c r="Z22" s="6"/>
      <c r="AA22" s="7"/>
      <c r="AB22" s="6"/>
      <c r="AC22" s="7"/>
      <c r="AD22" s="6"/>
      <c r="AE22" s="7"/>
      <c r="AF22" s="6"/>
      <c r="AG22" s="7"/>
      <c r="AH22" s="6"/>
      <c r="AI22" s="7"/>
      <c r="AJ22" s="6"/>
      <c r="AK22" s="7"/>
      <c r="AL22" s="6"/>
      <c r="AM22" s="7"/>
      <c r="AN22" s="6"/>
      <c r="AO22" s="7"/>
      <c r="AP22" s="6"/>
      <c r="AQ22" s="7"/>
      <c r="AR22" s="6"/>
      <c r="AS22" s="7"/>
      <c r="AT22" s="6"/>
      <c r="AU22" s="7"/>
      <c r="AV22" s="6"/>
      <c r="AW22" s="7"/>
      <c r="AX22" s="6"/>
      <c r="AY22" s="7"/>
      <c r="AZ22" s="6"/>
      <c r="BA22" s="7"/>
      <c r="BB22" s="6"/>
      <c r="BC22" s="7"/>
      <c r="BD22" s="6"/>
      <c r="BE22" s="7"/>
      <c r="BF22" s="6"/>
      <c r="BG22" s="7"/>
      <c r="BH22" s="6"/>
      <c r="BI22" s="7"/>
      <c r="BJ22" s="6"/>
      <c r="BK22" s="7"/>
      <c r="BL22" s="6"/>
      <c r="BM22" s="7"/>
      <c r="BN22" s="6"/>
    </row>
    <row r="23" spans="1:66" outlineLevel="2" x14ac:dyDescent="0.35">
      <c r="A23" s="2"/>
      <c r="B23" s="2"/>
      <c r="C23" s="2"/>
      <c r="D23" s="2"/>
      <c r="E23" s="2"/>
      <c r="F23" s="2" t="s">
        <v>36</v>
      </c>
      <c r="G23" s="2"/>
      <c r="H23" s="6">
        <v>0</v>
      </c>
      <c r="I23" s="7"/>
      <c r="J23" s="6">
        <v>0</v>
      </c>
      <c r="K23" s="7"/>
      <c r="L23" s="6">
        <v>0</v>
      </c>
      <c r="M23" s="7"/>
      <c r="N23" s="6">
        <v>0</v>
      </c>
      <c r="O23" s="7"/>
      <c r="P23" s="6">
        <v>-220.62</v>
      </c>
      <c r="Q23" s="7"/>
      <c r="R23" s="6">
        <v>757</v>
      </c>
      <c r="S23" s="7"/>
      <c r="T23" s="6">
        <v>0</v>
      </c>
      <c r="U23" s="7"/>
      <c r="V23" s="6">
        <v>0</v>
      </c>
      <c r="W23" s="7"/>
      <c r="X23" s="6">
        <v>0</v>
      </c>
      <c r="Y23" s="7"/>
      <c r="Z23" s="6">
        <v>1247.1500000000001</v>
      </c>
      <c r="AA23" s="7"/>
      <c r="AB23" s="6">
        <v>3177.66</v>
      </c>
      <c r="AC23" s="7"/>
      <c r="AD23" s="6">
        <v>0</v>
      </c>
      <c r="AE23" s="7"/>
      <c r="AF23" s="6">
        <v>1246.04</v>
      </c>
      <c r="AG23" s="7"/>
      <c r="AH23" s="6">
        <v>728.15</v>
      </c>
      <c r="AI23" s="7"/>
      <c r="AJ23" s="6">
        <v>0</v>
      </c>
      <c r="AK23" s="7"/>
      <c r="AL23" s="6">
        <v>0</v>
      </c>
      <c r="AM23" s="7"/>
      <c r="AN23" s="6">
        <v>0</v>
      </c>
      <c r="AO23" s="7"/>
      <c r="AP23" s="6">
        <v>895.09</v>
      </c>
      <c r="AQ23" s="7"/>
      <c r="AR23" s="6">
        <v>40.93</v>
      </c>
      <c r="AS23" s="7"/>
      <c r="AT23" s="6">
        <v>572.19000000000005</v>
      </c>
      <c r="AU23" s="7"/>
      <c r="AV23" s="6">
        <v>327.16000000000003</v>
      </c>
      <c r="AW23" s="7"/>
      <c r="AX23" s="6">
        <v>1149.8399999999999</v>
      </c>
      <c r="AY23" s="7"/>
      <c r="AZ23" s="6">
        <v>1770</v>
      </c>
      <c r="BA23" s="7"/>
      <c r="BB23" s="6">
        <v>210</v>
      </c>
      <c r="BC23" s="7"/>
      <c r="BD23" s="6">
        <v>2594.33</v>
      </c>
      <c r="BE23" s="7"/>
      <c r="BF23" s="6">
        <v>2044.55</v>
      </c>
      <c r="BG23" s="7"/>
      <c r="BH23" s="6">
        <v>1165.54</v>
      </c>
      <c r="BI23" s="7"/>
      <c r="BJ23" s="6">
        <v>840</v>
      </c>
      <c r="BK23" s="7"/>
      <c r="BL23" s="6">
        <v>1087.8599999999999</v>
      </c>
      <c r="BM23" s="7"/>
      <c r="BN23" s="6">
        <v>308.35000000000002</v>
      </c>
    </row>
    <row r="24" spans="1:66" outlineLevel="3" x14ac:dyDescent="0.35">
      <c r="A24" s="2"/>
      <c r="B24" s="2"/>
      <c r="C24" s="2"/>
      <c r="D24" s="2"/>
      <c r="E24" s="2"/>
      <c r="F24" s="2" t="s">
        <v>37</v>
      </c>
      <c r="G24" s="2"/>
      <c r="H24" s="6"/>
      <c r="I24" s="7"/>
      <c r="J24" s="6"/>
      <c r="K24" s="7"/>
      <c r="L24" s="6"/>
      <c r="M24" s="7"/>
      <c r="N24" s="6"/>
      <c r="O24" s="7"/>
      <c r="P24" s="6"/>
      <c r="Q24" s="7"/>
      <c r="R24" s="6"/>
      <c r="S24" s="7"/>
      <c r="T24" s="6"/>
      <c r="U24" s="7"/>
      <c r="V24" s="6"/>
      <c r="W24" s="7"/>
      <c r="X24" s="6"/>
      <c r="Y24" s="7"/>
      <c r="Z24" s="6"/>
      <c r="AA24" s="7"/>
      <c r="AB24" s="6"/>
      <c r="AC24" s="7"/>
      <c r="AD24" s="6"/>
      <c r="AE24" s="7"/>
      <c r="AF24" s="6"/>
      <c r="AG24" s="7"/>
      <c r="AH24" s="6"/>
      <c r="AI24" s="7"/>
      <c r="AJ24" s="6"/>
      <c r="AK24" s="7"/>
      <c r="AL24" s="6"/>
      <c r="AM24" s="7"/>
      <c r="AN24" s="6"/>
      <c r="AO24" s="7"/>
      <c r="AP24" s="6"/>
      <c r="AQ24" s="7"/>
      <c r="AR24" s="6"/>
      <c r="AS24" s="7"/>
      <c r="AT24" s="6"/>
      <c r="AU24" s="7"/>
      <c r="AV24" s="6"/>
      <c r="AW24" s="7"/>
      <c r="AX24" s="6"/>
      <c r="AY24" s="7"/>
      <c r="AZ24" s="6"/>
      <c r="BA24" s="7"/>
      <c r="BB24" s="6"/>
      <c r="BC24" s="7"/>
      <c r="BD24" s="6"/>
      <c r="BE24" s="7"/>
      <c r="BF24" s="6"/>
      <c r="BG24" s="7"/>
      <c r="BH24" s="6"/>
      <c r="BI24" s="7"/>
      <c r="BJ24" s="6"/>
      <c r="BK24" s="7"/>
      <c r="BL24" s="6"/>
      <c r="BM24" s="7"/>
      <c r="BN24" s="6"/>
    </row>
    <row r="25" spans="1:66" outlineLevel="3" x14ac:dyDescent="0.35">
      <c r="A25" s="2"/>
      <c r="B25" s="2"/>
      <c r="C25" s="2"/>
      <c r="D25" s="2"/>
      <c r="E25" s="2"/>
      <c r="F25" s="2"/>
      <c r="G25" s="2" t="s">
        <v>38</v>
      </c>
      <c r="H25" s="6">
        <v>0</v>
      </c>
      <c r="I25" s="7"/>
      <c r="J25" s="6">
        <v>0</v>
      </c>
      <c r="K25" s="7"/>
      <c r="L25" s="6">
        <v>0</v>
      </c>
      <c r="M25" s="7"/>
      <c r="N25" s="6">
        <v>0</v>
      </c>
      <c r="O25" s="7"/>
      <c r="P25" s="6">
        <v>0</v>
      </c>
      <c r="Q25" s="7"/>
      <c r="R25" s="6">
        <v>0</v>
      </c>
      <c r="S25" s="7"/>
      <c r="T25" s="6">
        <v>2090</v>
      </c>
      <c r="U25" s="7"/>
      <c r="V25" s="6">
        <v>0</v>
      </c>
      <c r="W25" s="7"/>
      <c r="X25" s="6">
        <v>0</v>
      </c>
      <c r="Y25" s="7"/>
      <c r="Z25" s="6">
        <v>0</v>
      </c>
      <c r="AA25" s="7"/>
      <c r="AB25" s="6">
        <v>0</v>
      </c>
      <c r="AC25" s="7"/>
      <c r="AD25" s="6">
        <v>0</v>
      </c>
      <c r="AE25" s="7"/>
      <c r="AF25" s="6">
        <v>0</v>
      </c>
      <c r="AG25" s="7"/>
      <c r="AH25" s="6">
        <v>0</v>
      </c>
      <c r="AI25" s="7"/>
      <c r="AJ25" s="6">
        <v>0</v>
      </c>
      <c r="AK25" s="7"/>
      <c r="AL25" s="6">
        <v>2095</v>
      </c>
      <c r="AM25" s="7"/>
      <c r="AN25" s="6">
        <v>0</v>
      </c>
      <c r="AO25" s="7"/>
      <c r="AP25" s="6">
        <v>0</v>
      </c>
      <c r="AQ25" s="7"/>
      <c r="AR25" s="6">
        <v>0</v>
      </c>
      <c r="AS25" s="7"/>
      <c r="AT25" s="6">
        <v>0</v>
      </c>
      <c r="AU25" s="7"/>
      <c r="AV25" s="6">
        <v>0</v>
      </c>
      <c r="AW25" s="7"/>
      <c r="AX25" s="6">
        <v>0</v>
      </c>
      <c r="AY25" s="7"/>
      <c r="AZ25" s="6">
        <v>0</v>
      </c>
      <c r="BA25" s="7"/>
      <c r="BB25" s="6">
        <v>0</v>
      </c>
      <c r="BC25" s="7"/>
      <c r="BD25" s="6">
        <v>0</v>
      </c>
      <c r="BE25" s="7"/>
      <c r="BF25" s="6">
        <v>0</v>
      </c>
      <c r="BG25" s="7"/>
      <c r="BH25" s="6">
        <v>0</v>
      </c>
      <c r="BI25" s="7"/>
      <c r="BJ25" s="6">
        <v>0</v>
      </c>
      <c r="BK25" s="7"/>
      <c r="BL25" s="6">
        <v>2095</v>
      </c>
      <c r="BM25" s="7"/>
      <c r="BN25" s="6">
        <v>0</v>
      </c>
    </row>
    <row r="26" spans="1:66" outlineLevel="3" x14ac:dyDescent="0.35">
      <c r="A26" s="2"/>
      <c r="B26" s="2"/>
      <c r="C26" s="2"/>
      <c r="D26" s="2"/>
      <c r="E26" s="2"/>
      <c r="F26" s="2"/>
      <c r="G26" s="2" t="s">
        <v>39</v>
      </c>
      <c r="H26" s="6">
        <v>29.95</v>
      </c>
      <c r="I26" s="7"/>
      <c r="J26" s="6">
        <v>29.95</v>
      </c>
      <c r="K26" s="7"/>
      <c r="L26" s="6">
        <v>15.95</v>
      </c>
      <c r="M26" s="7"/>
      <c r="N26" s="6">
        <v>15.95</v>
      </c>
      <c r="O26" s="7"/>
      <c r="P26" s="6">
        <v>15.95</v>
      </c>
      <c r="Q26" s="7"/>
      <c r="R26" s="6">
        <v>15.95</v>
      </c>
      <c r="S26" s="7"/>
      <c r="T26" s="6">
        <v>29.95</v>
      </c>
      <c r="U26" s="7"/>
      <c r="V26" s="6">
        <v>15.95</v>
      </c>
      <c r="W26" s="7"/>
      <c r="X26" s="6">
        <v>64.95</v>
      </c>
      <c r="Y26" s="7"/>
      <c r="Z26" s="6">
        <v>15.95</v>
      </c>
      <c r="AA26" s="7"/>
      <c r="AB26" s="6">
        <v>15.95</v>
      </c>
      <c r="AC26" s="7"/>
      <c r="AD26" s="6">
        <v>57.86</v>
      </c>
      <c r="AE26" s="7"/>
      <c r="AF26" s="6">
        <v>15.95</v>
      </c>
      <c r="AG26" s="7"/>
      <c r="AH26" s="6">
        <v>15.95</v>
      </c>
      <c r="AI26" s="7"/>
      <c r="AJ26" s="6">
        <v>15.95</v>
      </c>
      <c r="AK26" s="7"/>
      <c r="AL26" s="6">
        <v>29.95</v>
      </c>
      <c r="AM26" s="7"/>
      <c r="AN26" s="6">
        <v>15.95</v>
      </c>
      <c r="AO26" s="7"/>
      <c r="AP26" s="6">
        <v>124.95</v>
      </c>
      <c r="AQ26" s="7"/>
      <c r="AR26" s="6">
        <v>87.95</v>
      </c>
      <c r="AS26" s="7"/>
      <c r="AT26" s="6">
        <v>15.95</v>
      </c>
      <c r="AU26" s="7"/>
      <c r="AV26" s="6">
        <v>15.95</v>
      </c>
      <c r="AW26" s="7"/>
      <c r="AX26" s="6">
        <v>15.95</v>
      </c>
      <c r="AY26" s="7"/>
      <c r="AZ26" s="6">
        <v>15.95</v>
      </c>
      <c r="BA26" s="7"/>
      <c r="BB26" s="6">
        <v>15.95</v>
      </c>
      <c r="BC26" s="7"/>
      <c r="BD26" s="6">
        <v>15.95</v>
      </c>
      <c r="BE26" s="7"/>
      <c r="BF26" s="6">
        <v>15.95</v>
      </c>
      <c r="BG26" s="7"/>
      <c r="BH26" s="6">
        <v>15.95</v>
      </c>
      <c r="BI26" s="7"/>
      <c r="BJ26" s="6">
        <v>15.95</v>
      </c>
      <c r="BK26" s="7"/>
      <c r="BL26" s="6">
        <v>45.95</v>
      </c>
      <c r="BM26" s="7"/>
      <c r="BN26" s="6">
        <v>45.95</v>
      </c>
    </row>
    <row r="27" spans="1:66" ht="15" outlineLevel="3" thickBot="1" x14ac:dyDescent="0.4">
      <c r="A27" s="2"/>
      <c r="B27" s="2"/>
      <c r="C27" s="2"/>
      <c r="D27" s="2"/>
      <c r="E27" s="2"/>
      <c r="F27" s="2"/>
      <c r="G27" s="2" t="s">
        <v>40</v>
      </c>
      <c r="H27" s="9">
        <v>0</v>
      </c>
      <c r="I27" s="7"/>
      <c r="J27" s="9">
        <v>0</v>
      </c>
      <c r="K27" s="7"/>
      <c r="L27" s="9">
        <v>0</v>
      </c>
      <c r="M27" s="7"/>
      <c r="N27" s="9">
        <v>0</v>
      </c>
      <c r="O27" s="7"/>
      <c r="P27" s="9">
        <v>0</v>
      </c>
      <c r="Q27" s="7"/>
      <c r="R27" s="9">
        <v>0</v>
      </c>
      <c r="S27" s="7"/>
      <c r="T27" s="9">
        <v>0</v>
      </c>
      <c r="U27" s="7"/>
      <c r="V27" s="9">
        <v>0</v>
      </c>
      <c r="W27" s="7"/>
      <c r="X27" s="9">
        <v>0</v>
      </c>
      <c r="Y27" s="7"/>
      <c r="Z27" s="9">
        <v>0</v>
      </c>
      <c r="AA27" s="7"/>
      <c r="AB27" s="9">
        <v>0</v>
      </c>
      <c r="AC27" s="7"/>
      <c r="AD27" s="9">
        <v>0</v>
      </c>
      <c r="AE27" s="7"/>
      <c r="AF27" s="9">
        <v>0</v>
      </c>
      <c r="AG27" s="7"/>
      <c r="AH27" s="9">
        <v>0</v>
      </c>
      <c r="AI27" s="7"/>
      <c r="AJ27" s="9">
        <v>0</v>
      </c>
      <c r="AK27" s="7"/>
      <c r="AL27" s="9">
        <v>0</v>
      </c>
      <c r="AM27" s="7"/>
      <c r="AN27" s="9">
        <v>0</v>
      </c>
      <c r="AO27" s="7"/>
      <c r="AP27" s="9">
        <v>6.75</v>
      </c>
      <c r="AQ27" s="7"/>
      <c r="AR27" s="9">
        <v>0</v>
      </c>
      <c r="AS27" s="7"/>
      <c r="AT27" s="9">
        <v>0</v>
      </c>
      <c r="AU27" s="7"/>
      <c r="AV27" s="9">
        <v>0</v>
      </c>
      <c r="AW27" s="7"/>
      <c r="AX27" s="9">
        <v>0</v>
      </c>
      <c r="AY27" s="7"/>
      <c r="AZ27" s="9">
        <v>0</v>
      </c>
      <c r="BA27" s="7"/>
      <c r="BB27" s="9">
        <v>0</v>
      </c>
      <c r="BC27" s="7"/>
      <c r="BD27" s="9">
        <v>0</v>
      </c>
      <c r="BE27" s="7"/>
      <c r="BF27" s="9">
        <v>0</v>
      </c>
      <c r="BG27" s="7"/>
      <c r="BH27" s="9">
        <v>0</v>
      </c>
      <c r="BI27" s="7"/>
      <c r="BJ27" s="9">
        <v>0</v>
      </c>
      <c r="BK27" s="7"/>
      <c r="BL27" s="9">
        <v>0</v>
      </c>
      <c r="BM27" s="7"/>
      <c r="BN27" s="9">
        <v>0</v>
      </c>
    </row>
    <row r="28" spans="1:66" outlineLevel="2" x14ac:dyDescent="0.35">
      <c r="A28" s="2"/>
      <c r="B28" s="2"/>
      <c r="C28" s="2"/>
      <c r="D28" s="2"/>
      <c r="E28" s="2"/>
      <c r="F28" s="2" t="s">
        <v>41</v>
      </c>
      <c r="G28" s="2"/>
      <c r="H28" s="6">
        <f>ROUND(SUM(H24:H27),5)</f>
        <v>29.95</v>
      </c>
      <c r="I28" s="7"/>
      <c r="J28" s="6">
        <f>ROUND(SUM(J24:J27),5)</f>
        <v>29.95</v>
      </c>
      <c r="K28" s="7"/>
      <c r="L28" s="6">
        <f>ROUND(SUM(L24:L27),5)</f>
        <v>15.95</v>
      </c>
      <c r="M28" s="7"/>
      <c r="N28" s="6">
        <f>ROUND(SUM(N24:N27),5)</f>
        <v>15.95</v>
      </c>
      <c r="O28" s="7"/>
      <c r="P28" s="6">
        <f>ROUND(SUM(P24:P27),5)</f>
        <v>15.95</v>
      </c>
      <c r="Q28" s="7"/>
      <c r="R28" s="6">
        <f>ROUND(SUM(R24:R27),5)</f>
        <v>15.95</v>
      </c>
      <c r="S28" s="7"/>
      <c r="T28" s="6">
        <f>ROUND(SUM(T24:T27),5)</f>
        <v>2119.9499999999998</v>
      </c>
      <c r="U28" s="7"/>
      <c r="V28" s="6">
        <f>ROUND(SUM(V24:V27),5)</f>
        <v>15.95</v>
      </c>
      <c r="W28" s="7"/>
      <c r="X28" s="6">
        <f>ROUND(SUM(X24:X27),5)</f>
        <v>64.95</v>
      </c>
      <c r="Y28" s="7"/>
      <c r="Z28" s="6">
        <f>ROUND(SUM(Z24:Z27),5)</f>
        <v>15.95</v>
      </c>
      <c r="AA28" s="7"/>
      <c r="AB28" s="6">
        <f>ROUND(SUM(AB24:AB27),5)</f>
        <v>15.95</v>
      </c>
      <c r="AC28" s="7"/>
      <c r="AD28" s="6">
        <f>ROUND(SUM(AD24:AD27),5)</f>
        <v>57.86</v>
      </c>
      <c r="AE28" s="7"/>
      <c r="AF28" s="6">
        <f>ROUND(SUM(AF24:AF27),5)</f>
        <v>15.95</v>
      </c>
      <c r="AG28" s="7"/>
      <c r="AH28" s="6">
        <f>ROUND(SUM(AH24:AH27),5)</f>
        <v>15.95</v>
      </c>
      <c r="AI28" s="7"/>
      <c r="AJ28" s="6">
        <f>ROUND(SUM(AJ24:AJ27),5)</f>
        <v>15.95</v>
      </c>
      <c r="AK28" s="7"/>
      <c r="AL28" s="6">
        <f>ROUND(SUM(AL24:AL27),5)</f>
        <v>2124.9499999999998</v>
      </c>
      <c r="AM28" s="7"/>
      <c r="AN28" s="6">
        <f>ROUND(SUM(AN24:AN27),5)</f>
        <v>15.95</v>
      </c>
      <c r="AO28" s="7"/>
      <c r="AP28" s="6">
        <f>ROUND(SUM(AP24:AP27),5)</f>
        <v>131.69999999999999</v>
      </c>
      <c r="AQ28" s="7"/>
      <c r="AR28" s="6">
        <f>ROUND(SUM(AR24:AR27),5)</f>
        <v>87.95</v>
      </c>
      <c r="AS28" s="7"/>
      <c r="AT28" s="6">
        <f>ROUND(SUM(AT24:AT27),5)</f>
        <v>15.95</v>
      </c>
      <c r="AU28" s="7"/>
      <c r="AV28" s="6">
        <f>ROUND(SUM(AV24:AV27),5)</f>
        <v>15.95</v>
      </c>
      <c r="AW28" s="7"/>
      <c r="AX28" s="6">
        <f>ROUND(SUM(AX24:AX27),5)</f>
        <v>15.95</v>
      </c>
      <c r="AY28" s="7"/>
      <c r="AZ28" s="6">
        <f>ROUND(SUM(AZ24:AZ27),5)</f>
        <v>15.95</v>
      </c>
      <c r="BA28" s="7"/>
      <c r="BB28" s="6">
        <f>ROUND(SUM(BB24:BB27),5)</f>
        <v>15.95</v>
      </c>
      <c r="BC28" s="7"/>
      <c r="BD28" s="6">
        <f>ROUND(SUM(BD24:BD27),5)</f>
        <v>15.95</v>
      </c>
      <c r="BE28" s="7"/>
      <c r="BF28" s="6">
        <f>ROUND(SUM(BF24:BF27),5)</f>
        <v>15.95</v>
      </c>
      <c r="BG28" s="7"/>
      <c r="BH28" s="6">
        <f>ROUND(SUM(BH24:BH27),5)</f>
        <v>15.95</v>
      </c>
      <c r="BI28" s="7"/>
      <c r="BJ28" s="6">
        <f>ROUND(SUM(BJ24:BJ27),5)</f>
        <v>15.95</v>
      </c>
      <c r="BK28" s="7"/>
      <c r="BL28" s="6">
        <f>ROUND(SUM(BL24:BL27),5)</f>
        <v>2140.9499999999998</v>
      </c>
      <c r="BM28" s="7"/>
      <c r="BN28" s="6">
        <f>ROUND(SUM(BN24:BN27),5)</f>
        <v>45.95</v>
      </c>
    </row>
    <row r="29" spans="1:66" outlineLevel="3" x14ac:dyDescent="0.35">
      <c r="A29" s="2"/>
      <c r="B29" s="2"/>
      <c r="C29" s="2"/>
      <c r="D29" s="2"/>
      <c r="E29" s="2"/>
      <c r="F29" s="2" t="s">
        <v>42</v>
      </c>
      <c r="G29" s="2"/>
      <c r="H29" s="6"/>
      <c r="I29" s="7"/>
      <c r="J29" s="6"/>
      <c r="K29" s="7"/>
      <c r="L29" s="6"/>
      <c r="M29" s="7"/>
      <c r="N29" s="6"/>
      <c r="O29" s="7"/>
      <c r="P29" s="6"/>
      <c r="Q29" s="7"/>
      <c r="R29" s="6"/>
      <c r="S29" s="7"/>
      <c r="T29" s="6"/>
      <c r="U29" s="7"/>
      <c r="V29" s="6"/>
      <c r="W29" s="7"/>
      <c r="X29" s="6"/>
      <c r="Y29" s="7"/>
      <c r="Z29" s="6"/>
      <c r="AA29" s="7"/>
      <c r="AB29" s="6"/>
      <c r="AC29" s="7"/>
      <c r="AD29" s="6"/>
      <c r="AE29" s="7"/>
      <c r="AF29" s="6"/>
      <c r="AG29" s="7"/>
      <c r="AH29" s="6"/>
      <c r="AI29" s="7"/>
      <c r="AJ29" s="6"/>
      <c r="AK29" s="7"/>
      <c r="AL29" s="6"/>
      <c r="AM29" s="7"/>
      <c r="AN29" s="6"/>
      <c r="AO29" s="7"/>
      <c r="AP29" s="6"/>
      <c r="AQ29" s="7"/>
      <c r="AR29" s="6"/>
      <c r="AS29" s="7"/>
      <c r="AT29" s="6"/>
      <c r="AU29" s="7"/>
      <c r="AV29" s="6"/>
      <c r="AW29" s="7"/>
      <c r="AX29" s="6"/>
      <c r="AY29" s="7"/>
      <c r="AZ29" s="6"/>
      <c r="BA29" s="7"/>
      <c r="BB29" s="6"/>
      <c r="BC29" s="7"/>
      <c r="BD29" s="6"/>
      <c r="BE29" s="7"/>
      <c r="BF29" s="6"/>
      <c r="BG29" s="7"/>
      <c r="BH29" s="6"/>
      <c r="BI29" s="7"/>
      <c r="BJ29" s="6"/>
      <c r="BK29" s="7"/>
      <c r="BL29" s="6"/>
      <c r="BM29" s="7"/>
      <c r="BN29" s="6"/>
    </row>
    <row r="30" spans="1:66" outlineLevel="3" x14ac:dyDescent="0.35">
      <c r="A30" s="2"/>
      <c r="B30" s="2"/>
      <c r="C30" s="2"/>
      <c r="D30" s="2"/>
      <c r="E30" s="2"/>
      <c r="F30" s="2"/>
      <c r="G30" s="2" t="s">
        <v>43</v>
      </c>
      <c r="H30" s="6">
        <v>56.95</v>
      </c>
      <c r="I30" s="7"/>
      <c r="J30" s="6">
        <v>1360.15</v>
      </c>
      <c r="K30" s="7"/>
      <c r="L30" s="6">
        <v>124.25</v>
      </c>
      <c r="M30" s="7"/>
      <c r="N30" s="6">
        <v>56.95</v>
      </c>
      <c r="O30" s="7"/>
      <c r="P30" s="6">
        <v>67.760000000000005</v>
      </c>
      <c r="Q30" s="7"/>
      <c r="R30" s="6">
        <v>56.95</v>
      </c>
      <c r="S30" s="7"/>
      <c r="T30" s="6">
        <v>871.4</v>
      </c>
      <c r="U30" s="7"/>
      <c r="V30" s="6">
        <v>56.95</v>
      </c>
      <c r="W30" s="7"/>
      <c r="X30" s="6">
        <v>131.94999999999999</v>
      </c>
      <c r="Y30" s="7"/>
      <c r="Z30" s="6">
        <v>56.95</v>
      </c>
      <c r="AA30" s="7"/>
      <c r="AB30" s="6">
        <v>56.95</v>
      </c>
      <c r="AC30" s="7"/>
      <c r="AD30" s="6">
        <v>344.59</v>
      </c>
      <c r="AE30" s="7"/>
      <c r="AF30" s="6">
        <v>56.95</v>
      </c>
      <c r="AG30" s="7"/>
      <c r="AH30" s="6">
        <v>1360.15</v>
      </c>
      <c r="AI30" s="7"/>
      <c r="AJ30" s="6">
        <v>56.95</v>
      </c>
      <c r="AK30" s="7"/>
      <c r="AL30" s="6">
        <v>56.95</v>
      </c>
      <c r="AM30" s="7"/>
      <c r="AN30" s="6">
        <v>67.760000000000005</v>
      </c>
      <c r="AO30" s="7"/>
      <c r="AP30" s="6">
        <v>56.95</v>
      </c>
      <c r="AQ30" s="7"/>
      <c r="AR30" s="6">
        <v>872.15</v>
      </c>
      <c r="AS30" s="7"/>
      <c r="AT30" s="6">
        <v>56.95</v>
      </c>
      <c r="AU30" s="7"/>
      <c r="AV30" s="6">
        <v>165.64</v>
      </c>
      <c r="AW30" s="7"/>
      <c r="AX30" s="6">
        <v>56.95</v>
      </c>
      <c r="AY30" s="7"/>
      <c r="AZ30" s="6">
        <v>56.95</v>
      </c>
      <c r="BA30" s="7"/>
      <c r="BB30" s="6">
        <v>56.95</v>
      </c>
      <c r="BC30" s="7"/>
      <c r="BD30" s="6">
        <v>148.24</v>
      </c>
      <c r="BE30" s="7"/>
      <c r="BF30" s="6">
        <v>1428.75</v>
      </c>
      <c r="BG30" s="7"/>
      <c r="BH30" s="6">
        <v>91.69</v>
      </c>
      <c r="BI30" s="7"/>
      <c r="BJ30" s="6">
        <v>15.65</v>
      </c>
      <c r="BK30" s="7"/>
      <c r="BL30" s="6">
        <v>26.47</v>
      </c>
      <c r="BM30" s="7"/>
      <c r="BN30" s="6">
        <v>6.95</v>
      </c>
    </row>
    <row r="31" spans="1:66" ht="15" outlineLevel="3" thickBot="1" x14ac:dyDescent="0.4">
      <c r="A31" s="2"/>
      <c r="B31" s="2"/>
      <c r="C31" s="2"/>
      <c r="D31" s="2"/>
      <c r="E31" s="2"/>
      <c r="F31" s="2"/>
      <c r="G31" s="2" t="s">
        <v>44</v>
      </c>
      <c r="H31" s="9">
        <v>342.87</v>
      </c>
      <c r="I31" s="7"/>
      <c r="J31" s="9">
        <v>338.66</v>
      </c>
      <c r="K31" s="7"/>
      <c r="L31" s="9">
        <v>339.27</v>
      </c>
      <c r="M31" s="7"/>
      <c r="N31" s="9">
        <v>362.94</v>
      </c>
      <c r="O31" s="7"/>
      <c r="P31" s="9">
        <v>368.05</v>
      </c>
      <c r="Q31" s="7"/>
      <c r="R31" s="9">
        <v>366.69</v>
      </c>
      <c r="S31" s="7"/>
      <c r="T31" s="9">
        <v>368.19</v>
      </c>
      <c r="U31" s="7"/>
      <c r="V31" s="9">
        <v>367.58</v>
      </c>
      <c r="W31" s="7"/>
      <c r="X31" s="9">
        <v>368.2</v>
      </c>
      <c r="Y31" s="7"/>
      <c r="Z31" s="9">
        <v>362.65</v>
      </c>
      <c r="AA31" s="7"/>
      <c r="AB31" s="9">
        <v>363.05</v>
      </c>
      <c r="AC31" s="7"/>
      <c r="AD31" s="9">
        <v>481.34</v>
      </c>
      <c r="AE31" s="7"/>
      <c r="AF31" s="9">
        <v>367.93</v>
      </c>
      <c r="AG31" s="7"/>
      <c r="AH31" s="9">
        <v>372.03</v>
      </c>
      <c r="AI31" s="7"/>
      <c r="AJ31" s="9">
        <v>373.44</v>
      </c>
      <c r="AK31" s="7"/>
      <c r="AL31" s="9">
        <v>372.36</v>
      </c>
      <c r="AM31" s="7"/>
      <c r="AN31" s="9">
        <v>370.23</v>
      </c>
      <c r="AO31" s="7"/>
      <c r="AP31" s="9">
        <v>370.93</v>
      </c>
      <c r="AQ31" s="7"/>
      <c r="AR31" s="9">
        <v>372.02</v>
      </c>
      <c r="AS31" s="7"/>
      <c r="AT31" s="9">
        <v>371.52</v>
      </c>
      <c r="AU31" s="7"/>
      <c r="AV31" s="9">
        <v>385.13</v>
      </c>
      <c r="AW31" s="7"/>
      <c r="AX31" s="9">
        <v>385.34</v>
      </c>
      <c r="AY31" s="7"/>
      <c r="AZ31" s="9">
        <v>277.81</v>
      </c>
      <c r="BA31" s="7"/>
      <c r="BB31" s="9">
        <v>388.38</v>
      </c>
      <c r="BC31" s="7"/>
      <c r="BD31" s="9">
        <v>279.29000000000002</v>
      </c>
      <c r="BE31" s="7"/>
      <c r="BF31" s="9">
        <v>494.03</v>
      </c>
      <c r="BG31" s="7"/>
      <c r="BH31" s="9">
        <v>282.39999999999998</v>
      </c>
      <c r="BI31" s="7"/>
      <c r="BJ31" s="9">
        <v>384.43</v>
      </c>
      <c r="BK31" s="7"/>
      <c r="BL31" s="9">
        <v>392.76</v>
      </c>
      <c r="BM31" s="7"/>
      <c r="BN31" s="9">
        <v>364.56</v>
      </c>
    </row>
    <row r="32" spans="1:66" outlineLevel="2" x14ac:dyDescent="0.35">
      <c r="A32" s="2"/>
      <c r="B32" s="2"/>
      <c r="C32" s="2"/>
      <c r="D32" s="2"/>
      <c r="E32" s="2"/>
      <c r="F32" s="2" t="s">
        <v>45</v>
      </c>
      <c r="G32" s="2"/>
      <c r="H32" s="6">
        <f>ROUND(SUM(H29:H31),5)</f>
        <v>399.82</v>
      </c>
      <c r="I32" s="7"/>
      <c r="J32" s="6">
        <f>ROUND(SUM(J29:J31),5)</f>
        <v>1698.81</v>
      </c>
      <c r="K32" s="7"/>
      <c r="L32" s="6">
        <f>ROUND(SUM(L29:L31),5)</f>
        <v>463.52</v>
      </c>
      <c r="M32" s="7"/>
      <c r="N32" s="6">
        <f>ROUND(SUM(N29:N31),5)</f>
        <v>419.89</v>
      </c>
      <c r="O32" s="7"/>
      <c r="P32" s="6">
        <f>ROUND(SUM(P29:P31),5)</f>
        <v>435.81</v>
      </c>
      <c r="Q32" s="7"/>
      <c r="R32" s="6">
        <f>ROUND(SUM(R29:R31),5)</f>
        <v>423.64</v>
      </c>
      <c r="S32" s="7"/>
      <c r="T32" s="6">
        <f>ROUND(SUM(T29:T31),5)</f>
        <v>1239.5899999999999</v>
      </c>
      <c r="U32" s="7"/>
      <c r="V32" s="6">
        <f>ROUND(SUM(V29:V31),5)</f>
        <v>424.53</v>
      </c>
      <c r="W32" s="7"/>
      <c r="X32" s="6">
        <f>ROUND(SUM(X29:X31),5)</f>
        <v>500.15</v>
      </c>
      <c r="Y32" s="7"/>
      <c r="Z32" s="6">
        <f>ROUND(SUM(Z29:Z31),5)</f>
        <v>419.6</v>
      </c>
      <c r="AA32" s="7"/>
      <c r="AB32" s="6">
        <f>ROUND(SUM(AB29:AB31),5)</f>
        <v>420</v>
      </c>
      <c r="AC32" s="7"/>
      <c r="AD32" s="6">
        <f>ROUND(SUM(AD29:AD31),5)</f>
        <v>825.93</v>
      </c>
      <c r="AE32" s="7"/>
      <c r="AF32" s="6">
        <f>ROUND(SUM(AF29:AF31),5)</f>
        <v>424.88</v>
      </c>
      <c r="AG32" s="7"/>
      <c r="AH32" s="6">
        <f>ROUND(SUM(AH29:AH31),5)</f>
        <v>1732.18</v>
      </c>
      <c r="AI32" s="7"/>
      <c r="AJ32" s="6">
        <f>ROUND(SUM(AJ29:AJ31),5)</f>
        <v>430.39</v>
      </c>
      <c r="AK32" s="7"/>
      <c r="AL32" s="6">
        <f>ROUND(SUM(AL29:AL31),5)</f>
        <v>429.31</v>
      </c>
      <c r="AM32" s="7"/>
      <c r="AN32" s="6">
        <f>ROUND(SUM(AN29:AN31),5)</f>
        <v>437.99</v>
      </c>
      <c r="AO32" s="7"/>
      <c r="AP32" s="6">
        <f>ROUND(SUM(AP29:AP31),5)</f>
        <v>427.88</v>
      </c>
      <c r="AQ32" s="7"/>
      <c r="AR32" s="6">
        <f>ROUND(SUM(AR29:AR31),5)</f>
        <v>1244.17</v>
      </c>
      <c r="AS32" s="7"/>
      <c r="AT32" s="6">
        <f>ROUND(SUM(AT29:AT31),5)</f>
        <v>428.47</v>
      </c>
      <c r="AU32" s="7"/>
      <c r="AV32" s="6">
        <f>ROUND(SUM(AV29:AV31),5)</f>
        <v>550.77</v>
      </c>
      <c r="AW32" s="7"/>
      <c r="AX32" s="6">
        <f>ROUND(SUM(AX29:AX31),5)</f>
        <v>442.29</v>
      </c>
      <c r="AY32" s="7"/>
      <c r="AZ32" s="6">
        <f>ROUND(SUM(AZ29:AZ31),5)</f>
        <v>334.76</v>
      </c>
      <c r="BA32" s="7"/>
      <c r="BB32" s="6">
        <f>ROUND(SUM(BB29:BB31),5)</f>
        <v>445.33</v>
      </c>
      <c r="BC32" s="7"/>
      <c r="BD32" s="6">
        <f>ROUND(SUM(BD29:BD31),5)</f>
        <v>427.53</v>
      </c>
      <c r="BE32" s="7"/>
      <c r="BF32" s="6">
        <f>ROUND(SUM(BF29:BF31),5)</f>
        <v>1922.78</v>
      </c>
      <c r="BG32" s="7"/>
      <c r="BH32" s="6">
        <f>ROUND(SUM(BH29:BH31),5)</f>
        <v>374.09</v>
      </c>
      <c r="BI32" s="7"/>
      <c r="BJ32" s="6">
        <f>ROUND(SUM(BJ29:BJ31),5)</f>
        <v>400.08</v>
      </c>
      <c r="BK32" s="7"/>
      <c r="BL32" s="6">
        <f>ROUND(SUM(BL29:BL31),5)</f>
        <v>419.23</v>
      </c>
      <c r="BM32" s="7"/>
      <c r="BN32" s="6">
        <f>ROUND(SUM(BN29:BN31),5)</f>
        <v>371.51</v>
      </c>
    </row>
    <row r="33" spans="1:66" outlineLevel="2" x14ac:dyDescent="0.35">
      <c r="A33" s="2"/>
      <c r="B33" s="2"/>
      <c r="C33" s="2"/>
      <c r="D33" s="2"/>
      <c r="E33" s="2"/>
      <c r="F33" s="2" t="s">
        <v>46</v>
      </c>
      <c r="G33" s="2"/>
      <c r="H33" s="6">
        <v>560.91999999999996</v>
      </c>
      <c r="I33" s="7"/>
      <c r="J33" s="6">
        <v>560.91999999999996</v>
      </c>
      <c r="K33" s="7"/>
      <c r="L33" s="6">
        <v>1090.92</v>
      </c>
      <c r="M33" s="7"/>
      <c r="N33" s="6">
        <v>8609</v>
      </c>
      <c r="O33" s="7"/>
      <c r="P33" s="6">
        <v>-758.48</v>
      </c>
      <c r="Q33" s="7"/>
      <c r="R33" s="6">
        <v>0</v>
      </c>
      <c r="S33" s="7"/>
      <c r="T33" s="6">
        <v>991</v>
      </c>
      <c r="U33" s="7"/>
      <c r="V33" s="6">
        <v>0</v>
      </c>
      <c r="W33" s="7"/>
      <c r="X33" s="6">
        <v>100</v>
      </c>
      <c r="Y33" s="7"/>
      <c r="Z33" s="6">
        <v>0</v>
      </c>
      <c r="AA33" s="7"/>
      <c r="AB33" s="6">
        <v>0</v>
      </c>
      <c r="AC33" s="7"/>
      <c r="AD33" s="6">
        <v>0</v>
      </c>
      <c r="AE33" s="7"/>
      <c r="AF33" s="6">
        <v>0</v>
      </c>
      <c r="AG33" s="7"/>
      <c r="AH33" s="6">
        <v>0</v>
      </c>
      <c r="AI33" s="7"/>
      <c r="AJ33" s="6">
        <v>9145</v>
      </c>
      <c r="AK33" s="7"/>
      <c r="AL33" s="6">
        <v>0</v>
      </c>
      <c r="AM33" s="7"/>
      <c r="AN33" s="6">
        <v>100</v>
      </c>
      <c r="AO33" s="7"/>
      <c r="AP33" s="6">
        <v>1013</v>
      </c>
      <c r="AQ33" s="7"/>
      <c r="AR33" s="6">
        <v>0</v>
      </c>
      <c r="AS33" s="7"/>
      <c r="AT33" s="6">
        <v>0</v>
      </c>
      <c r="AU33" s="7"/>
      <c r="AV33" s="6">
        <v>100</v>
      </c>
      <c r="AW33" s="7"/>
      <c r="AX33" s="6">
        <v>0</v>
      </c>
      <c r="AY33" s="7"/>
      <c r="AZ33" s="6">
        <v>0</v>
      </c>
      <c r="BA33" s="7"/>
      <c r="BB33" s="6">
        <v>0</v>
      </c>
      <c r="BC33" s="7"/>
      <c r="BD33" s="6">
        <v>0</v>
      </c>
      <c r="BE33" s="7"/>
      <c r="BF33" s="6">
        <v>0</v>
      </c>
      <c r="BG33" s="7"/>
      <c r="BH33" s="6">
        <v>0</v>
      </c>
      <c r="BI33" s="7"/>
      <c r="BJ33" s="6">
        <v>10068</v>
      </c>
      <c r="BK33" s="7"/>
      <c r="BL33" s="6">
        <v>1035</v>
      </c>
      <c r="BM33" s="7"/>
      <c r="BN33" s="6">
        <v>0</v>
      </c>
    </row>
    <row r="34" spans="1:66" outlineLevel="2" x14ac:dyDescent="0.35">
      <c r="A34" s="2"/>
      <c r="B34" s="2"/>
      <c r="C34" s="2"/>
      <c r="D34" s="2"/>
      <c r="E34" s="2"/>
      <c r="F34" s="2" t="s">
        <v>47</v>
      </c>
      <c r="G34" s="2"/>
      <c r="H34" s="6">
        <v>27.2</v>
      </c>
      <c r="I34" s="7"/>
      <c r="J34" s="6">
        <v>0</v>
      </c>
      <c r="K34" s="7"/>
      <c r="L34" s="6">
        <v>0</v>
      </c>
      <c r="M34" s="7"/>
      <c r="N34" s="6">
        <v>402.62</v>
      </c>
      <c r="O34" s="7"/>
      <c r="P34" s="6">
        <v>0</v>
      </c>
      <c r="Q34" s="7"/>
      <c r="R34" s="6">
        <v>365.55</v>
      </c>
      <c r="S34" s="7"/>
      <c r="T34" s="6">
        <v>85.78</v>
      </c>
      <c r="U34" s="7"/>
      <c r="V34" s="6">
        <v>107.35</v>
      </c>
      <c r="W34" s="7"/>
      <c r="X34" s="6">
        <v>102.15</v>
      </c>
      <c r="Y34" s="7"/>
      <c r="Z34" s="6">
        <v>318.19</v>
      </c>
      <c r="AA34" s="7"/>
      <c r="AB34" s="6">
        <v>330.85</v>
      </c>
      <c r="AC34" s="7"/>
      <c r="AD34" s="6">
        <v>265.66000000000003</v>
      </c>
      <c r="AE34" s="7"/>
      <c r="AF34" s="6">
        <v>116.27</v>
      </c>
      <c r="AG34" s="7"/>
      <c r="AH34" s="6">
        <v>16.27</v>
      </c>
      <c r="AI34" s="7"/>
      <c r="AJ34" s="6">
        <v>153.5</v>
      </c>
      <c r="AK34" s="7"/>
      <c r="AL34" s="6">
        <v>76.52</v>
      </c>
      <c r="AM34" s="7"/>
      <c r="AN34" s="6">
        <v>266.48</v>
      </c>
      <c r="AO34" s="7"/>
      <c r="AP34" s="6">
        <v>16.27</v>
      </c>
      <c r="AQ34" s="7"/>
      <c r="AR34" s="6">
        <v>171.83</v>
      </c>
      <c r="AS34" s="7"/>
      <c r="AT34" s="6">
        <v>16.29</v>
      </c>
      <c r="AU34" s="7"/>
      <c r="AV34" s="6">
        <v>73.89</v>
      </c>
      <c r="AW34" s="7"/>
      <c r="AX34" s="6">
        <v>60.67</v>
      </c>
      <c r="AY34" s="7"/>
      <c r="AZ34" s="6">
        <v>16.29</v>
      </c>
      <c r="BA34" s="7"/>
      <c r="BB34" s="6">
        <v>387.18</v>
      </c>
      <c r="BC34" s="7"/>
      <c r="BD34" s="6">
        <v>188.85</v>
      </c>
      <c r="BE34" s="7"/>
      <c r="BF34" s="6">
        <v>341.43</v>
      </c>
      <c r="BG34" s="7"/>
      <c r="BH34" s="6">
        <v>181.85</v>
      </c>
      <c r="BI34" s="7"/>
      <c r="BJ34" s="6">
        <v>95.83</v>
      </c>
      <c r="BK34" s="7"/>
      <c r="BL34" s="6">
        <v>16.29</v>
      </c>
      <c r="BM34" s="7"/>
      <c r="BN34" s="6">
        <v>16.29</v>
      </c>
    </row>
    <row r="35" spans="1:66" outlineLevel="2" x14ac:dyDescent="0.35">
      <c r="A35" s="2"/>
      <c r="B35" s="2"/>
      <c r="C35" s="2"/>
      <c r="D35" s="2"/>
      <c r="E35" s="2"/>
      <c r="F35" s="2" t="s">
        <v>48</v>
      </c>
      <c r="G35" s="2"/>
      <c r="H35" s="6">
        <v>500</v>
      </c>
      <c r="I35" s="7"/>
      <c r="J35" s="6">
        <v>0</v>
      </c>
      <c r="K35" s="7"/>
      <c r="L35" s="6">
        <v>607.35</v>
      </c>
      <c r="M35" s="7"/>
      <c r="N35" s="6">
        <v>0</v>
      </c>
      <c r="O35" s="7"/>
      <c r="P35" s="6">
        <v>500</v>
      </c>
      <c r="Q35" s="7"/>
      <c r="R35" s="6">
        <v>81.67</v>
      </c>
      <c r="S35" s="7"/>
      <c r="T35" s="6">
        <v>508.25</v>
      </c>
      <c r="U35" s="7"/>
      <c r="V35" s="6">
        <v>0</v>
      </c>
      <c r="W35" s="7"/>
      <c r="X35" s="6">
        <v>74.89</v>
      </c>
      <c r="Y35" s="7"/>
      <c r="Z35" s="6">
        <v>500</v>
      </c>
      <c r="AA35" s="7"/>
      <c r="AB35" s="6">
        <v>500</v>
      </c>
      <c r="AC35" s="7"/>
      <c r="AD35" s="6">
        <v>0</v>
      </c>
      <c r="AE35" s="7"/>
      <c r="AF35" s="6">
        <v>587.97</v>
      </c>
      <c r="AG35" s="7"/>
      <c r="AH35" s="6">
        <v>0</v>
      </c>
      <c r="AI35" s="7"/>
      <c r="AJ35" s="6">
        <v>500</v>
      </c>
      <c r="AK35" s="7"/>
      <c r="AL35" s="6">
        <v>87.97</v>
      </c>
      <c r="AM35" s="7"/>
      <c r="AN35" s="6">
        <v>88.16</v>
      </c>
      <c r="AO35" s="7"/>
      <c r="AP35" s="6">
        <v>500</v>
      </c>
      <c r="AQ35" s="7"/>
      <c r="AR35" s="6">
        <v>0</v>
      </c>
      <c r="AS35" s="7"/>
      <c r="AT35" s="6">
        <v>738.04</v>
      </c>
      <c r="AU35" s="7"/>
      <c r="AV35" s="6">
        <v>0</v>
      </c>
      <c r="AW35" s="7"/>
      <c r="AX35" s="6">
        <v>500</v>
      </c>
      <c r="AY35" s="7"/>
      <c r="AZ35" s="6">
        <v>88.24</v>
      </c>
      <c r="BA35" s="7"/>
      <c r="BB35" s="6">
        <v>500</v>
      </c>
      <c r="BC35" s="7"/>
      <c r="BD35" s="6">
        <v>0</v>
      </c>
      <c r="BE35" s="7"/>
      <c r="BF35" s="6">
        <v>88.24</v>
      </c>
      <c r="BG35" s="7"/>
      <c r="BH35" s="6">
        <v>500</v>
      </c>
      <c r="BI35" s="7"/>
      <c r="BJ35" s="6">
        <v>0</v>
      </c>
      <c r="BK35" s="7"/>
      <c r="BL35" s="6">
        <v>588.24</v>
      </c>
      <c r="BM35" s="7"/>
      <c r="BN35" s="6">
        <v>0</v>
      </c>
    </row>
    <row r="36" spans="1:66" outlineLevel="3" x14ac:dyDescent="0.35">
      <c r="A36" s="2"/>
      <c r="B36" s="2"/>
      <c r="C36" s="2"/>
      <c r="D36" s="2"/>
      <c r="E36" s="2"/>
      <c r="F36" s="2" t="s">
        <v>49</v>
      </c>
      <c r="G36" s="2"/>
      <c r="H36" s="6"/>
      <c r="I36" s="7"/>
      <c r="J36" s="6"/>
      <c r="K36" s="7"/>
      <c r="L36" s="6"/>
      <c r="M36" s="7"/>
      <c r="N36" s="6"/>
      <c r="O36" s="7"/>
      <c r="P36" s="6"/>
      <c r="Q36" s="7"/>
      <c r="R36" s="6"/>
      <c r="S36" s="7"/>
      <c r="T36" s="6"/>
      <c r="U36" s="7"/>
      <c r="V36" s="6"/>
      <c r="W36" s="7"/>
      <c r="X36" s="6"/>
      <c r="Y36" s="7"/>
      <c r="Z36" s="6"/>
      <c r="AA36" s="7"/>
      <c r="AB36" s="6"/>
      <c r="AC36" s="7"/>
      <c r="AD36" s="6"/>
      <c r="AE36" s="7"/>
      <c r="AF36" s="6"/>
      <c r="AG36" s="7"/>
      <c r="AH36" s="6"/>
      <c r="AI36" s="7"/>
      <c r="AJ36" s="6"/>
      <c r="AK36" s="7"/>
      <c r="AL36" s="6"/>
      <c r="AM36" s="7"/>
      <c r="AN36" s="6"/>
      <c r="AO36" s="7"/>
      <c r="AP36" s="6"/>
      <c r="AQ36" s="7"/>
      <c r="AR36" s="6"/>
      <c r="AS36" s="7"/>
      <c r="AT36" s="6"/>
      <c r="AU36" s="7"/>
      <c r="AV36" s="6"/>
      <c r="AW36" s="7"/>
      <c r="AX36" s="6"/>
      <c r="AY36" s="7"/>
      <c r="AZ36" s="6"/>
      <c r="BA36" s="7"/>
      <c r="BB36" s="6"/>
      <c r="BC36" s="7"/>
      <c r="BD36" s="6"/>
      <c r="BE36" s="7"/>
      <c r="BF36" s="6"/>
      <c r="BG36" s="7"/>
      <c r="BH36" s="6"/>
      <c r="BI36" s="7"/>
      <c r="BJ36" s="6"/>
      <c r="BK36" s="7"/>
      <c r="BL36" s="6"/>
      <c r="BM36" s="7"/>
      <c r="BN36" s="6"/>
    </row>
    <row r="37" spans="1:66" ht="15" outlineLevel="3" thickBot="1" x14ac:dyDescent="0.4">
      <c r="A37" s="2"/>
      <c r="B37" s="2"/>
      <c r="C37" s="2"/>
      <c r="D37" s="2"/>
      <c r="E37" s="2"/>
      <c r="F37" s="2"/>
      <c r="G37" s="2" t="s">
        <v>50</v>
      </c>
      <c r="H37" s="6">
        <v>100</v>
      </c>
      <c r="I37" s="7"/>
      <c r="J37" s="6">
        <v>0</v>
      </c>
      <c r="K37" s="7"/>
      <c r="L37" s="6">
        <v>0</v>
      </c>
      <c r="M37" s="7"/>
      <c r="N37" s="6">
        <v>0</v>
      </c>
      <c r="O37" s="7"/>
      <c r="P37" s="6">
        <v>42</v>
      </c>
      <c r="Q37" s="7"/>
      <c r="R37" s="6">
        <v>0</v>
      </c>
      <c r="S37" s="7"/>
      <c r="T37" s="6">
        <v>6.52</v>
      </c>
      <c r="U37" s="7"/>
      <c r="V37" s="6">
        <v>0</v>
      </c>
      <c r="W37" s="7"/>
      <c r="X37" s="6">
        <v>0</v>
      </c>
      <c r="Y37" s="7"/>
      <c r="Z37" s="6">
        <v>0</v>
      </c>
      <c r="AA37" s="7"/>
      <c r="AB37" s="6">
        <v>0</v>
      </c>
      <c r="AC37" s="7"/>
      <c r="AD37" s="6">
        <v>0</v>
      </c>
      <c r="AE37" s="7"/>
      <c r="AF37" s="6">
        <v>237.47</v>
      </c>
      <c r="AG37" s="7"/>
      <c r="AH37" s="6">
        <v>0</v>
      </c>
      <c r="AI37" s="7"/>
      <c r="AJ37" s="6">
        <v>0</v>
      </c>
      <c r="AK37" s="7"/>
      <c r="AL37" s="6">
        <v>0</v>
      </c>
      <c r="AM37" s="7"/>
      <c r="AN37" s="6">
        <v>42</v>
      </c>
      <c r="AO37" s="7"/>
      <c r="AP37" s="6">
        <v>110.1</v>
      </c>
      <c r="AQ37" s="7"/>
      <c r="AR37" s="6">
        <v>0</v>
      </c>
      <c r="AS37" s="7"/>
      <c r="AT37" s="6">
        <v>620</v>
      </c>
      <c r="AU37" s="7"/>
      <c r="AV37" s="6">
        <v>0</v>
      </c>
      <c r="AW37" s="7"/>
      <c r="AX37" s="6">
        <v>0</v>
      </c>
      <c r="AY37" s="7"/>
      <c r="AZ37" s="6">
        <v>0</v>
      </c>
      <c r="BA37" s="7"/>
      <c r="BB37" s="6">
        <v>270</v>
      </c>
      <c r="BC37" s="7"/>
      <c r="BD37" s="6">
        <v>0</v>
      </c>
      <c r="BE37" s="7"/>
      <c r="BF37" s="6">
        <v>0</v>
      </c>
      <c r="BG37" s="7"/>
      <c r="BH37" s="6">
        <v>0</v>
      </c>
      <c r="BI37" s="7"/>
      <c r="BJ37" s="6">
        <v>11</v>
      </c>
      <c r="BK37" s="7"/>
      <c r="BL37" s="6">
        <v>42</v>
      </c>
      <c r="BM37" s="7"/>
      <c r="BN37" s="6">
        <v>0</v>
      </c>
    </row>
    <row r="38" spans="1:66" ht="15" outlineLevel="2" thickBot="1" x14ac:dyDescent="0.4">
      <c r="A38" s="2"/>
      <c r="B38" s="2"/>
      <c r="C38" s="2"/>
      <c r="D38" s="2"/>
      <c r="E38" s="2"/>
      <c r="F38" s="2" t="s">
        <v>52</v>
      </c>
      <c r="G38" s="2"/>
      <c r="H38" s="11">
        <f>ROUND(SUM(H36:H37),5)</f>
        <v>100</v>
      </c>
      <c r="I38" s="7"/>
      <c r="J38" s="11">
        <f>ROUND(SUM(J36:J37),5)</f>
        <v>0</v>
      </c>
      <c r="K38" s="7"/>
      <c r="L38" s="11">
        <f>ROUND(SUM(L36:L37),5)</f>
        <v>0</v>
      </c>
      <c r="M38" s="7"/>
      <c r="N38" s="11">
        <f>ROUND(SUM(N36:N37),5)</f>
        <v>0</v>
      </c>
      <c r="O38" s="7"/>
      <c r="P38" s="11">
        <f>ROUND(SUM(P36:P37),5)</f>
        <v>42</v>
      </c>
      <c r="Q38" s="7"/>
      <c r="R38" s="11">
        <f>ROUND(SUM(R36:R37),5)</f>
        <v>0</v>
      </c>
      <c r="S38" s="7"/>
      <c r="T38" s="11">
        <f>ROUND(SUM(T36:T37),5)</f>
        <v>6.52</v>
      </c>
      <c r="U38" s="7"/>
      <c r="V38" s="11">
        <f>ROUND(SUM(V36:V37),5)</f>
        <v>0</v>
      </c>
      <c r="W38" s="7"/>
      <c r="X38" s="11">
        <f>ROUND(SUM(X36:X37),5)</f>
        <v>0</v>
      </c>
      <c r="Y38" s="7"/>
      <c r="Z38" s="11">
        <f>ROUND(SUM(Z36:Z37),5)</f>
        <v>0</v>
      </c>
      <c r="AA38" s="7"/>
      <c r="AB38" s="11">
        <f>ROUND(SUM(AB36:AB37),5)</f>
        <v>0</v>
      </c>
      <c r="AC38" s="7"/>
      <c r="AD38" s="11">
        <f>ROUND(SUM(AD36:AD37),5)</f>
        <v>0</v>
      </c>
      <c r="AE38" s="7"/>
      <c r="AF38" s="11">
        <f>ROUND(SUM(AF36:AF37),5)</f>
        <v>237.47</v>
      </c>
      <c r="AG38" s="7"/>
      <c r="AH38" s="11">
        <f>ROUND(SUM(AH36:AH37),5)</f>
        <v>0</v>
      </c>
      <c r="AI38" s="7"/>
      <c r="AJ38" s="11">
        <f>ROUND(SUM(AJ36:AJ37),5)</f>
        <v>0</v>
      </c>
      <c r="AK38" s="7"/>
      <c r="AL38" s="11">
        <f>ROUND(SUM(AL36:AL37),5)</f>
        <v>0</v>
      </c>
      <c r="AM38" s="7"/>
      <c r="AN38" s="11">
        <f>ROUND(SUM(AN36:AN37),5)</f>
        <v>42</v>
      </c>
      <c r="AO38" s="7"/>
      <c r="AP38" s="11">
        <f>ROUND(SUM(AP36:AP37),5)</f>
        <v>110.1</v>
      </c>
      <c r="AQ38" s="7"/>
      <c r="AR38" s="11">
        <f>ROUND(SUM(AR36:AR37),5)</f>
        <v>0</v>
      </c>
      <c r="AS38" s="7"/>
      <c r="AT38" s="11">
        <f>ROUND(SUM(AT36:AT37),5)</f>
        <v>620</v>
      </c>
      <c r="AU38" s="7"/>
      <c r="AV38" s="11">
        <f>ROUND(SUM(AV36:AV37),5)</f>
        <v>0</v>
      </c>
      <c r="AW38" s="7"/>
      <c r="AX38" s="11">
        <f>ROUND(SUM(AX36:AX37),5)</f>
        <v>0</v>
      </c>
      <c r="AY38" s="7"/>
      <c r="AZ38" s="11">
        <f>ROUND(SUM(AZ36:AZ37),5)</f>
        <v>0</v>
      </c>
      <c r="BA38" s="7"/>
      <c r="BB38" s="11">
        <f>ROUND(SUM(BB36:BB37),5)</f>
        <v>270</v>
      </c>
      <c r="BC38" s="7"/>
      <c r="BD38" s="11">
        <f>ROUND(SUM(BD36:BD37),5)</f>
        <v>0</v>
      </c>
      <c r="BE38" s="7"/>
      <c r="BF38" s="11">
        <f>ROUND(SUM(BF36:BF37),5)</f>
        <v>0</v>
      </c>
      <c r="BG38" s="7"/>
      <c r="BH38" s="11">
        <f>ROUND(SUM(BH36:BH37),5)</f>
        <v>0</v>
      </c>
      <c r="BI38" s="7"/>
      <c r="BJ38" s="11">
        <f>ROUND(SUM(BJ36:BJ37),5)</f>
        <v>11</v>
      </c>
      <c r="BK38" s="7"/>
      <c r="BL38" s="11">
        <f>ROUND(SUM(BL36:BL37),5)</f>
        <v>42</v>
      </c>
      <c r="BM38" s="7"/>
      <c r="BN38" s="11">
        <f>ROUND(SUM(BN36:BN37),5)</f>
        <v>0</v>
      </c>
    </row>
    <row r="39" spans="1:66" outlineLevel="1" x14ac:dyDescent="0.35">
      <c r="A39" s="2"/>
      <c r="B39" s="2"/>
      <c r="C39" s="2"/>
      <c r="D39" s="2"/>
      <c r="E39" s="2" t="s">
        <v>53</v>
      </c>
      <c r="F39" s="2"/>
      <c r="G39" s="2"/>
      <c r="H39" s="6">
        <f>ROUND(SUM(H22:H23)+H28+SUM(H32:H35)+H38,5)</f>
        <v>1617.89</v>
      </c>
      <c r="I39" s="7"/>
      <c r="J39" s="6">
        <f>ROUND(SUM(J22:J23)+J28+SUM(J32:J35)+J38,5)</f>
        <v>2289.6799999999998</v>
      </c>
      <c r="K39" s="7"/>
      <c r="L39" s="6">
        <f>ROUND(SUM(L22:L23)+L28+SUM(L32:L35)+L38,5)</f>
        <v>2177.7399999999998</v>
      </c>
      <c r="M39" s="7"/>
      <c r="N39" s="6">
        <f>ROUND(SUM(N22:N23)+N28+SUM(N32:N35)+N38,5)</f>
        <v>9447.4599999999991</v>
      </c>
      <c r="O39" s="7"/>
      <c r="P39" s="6">
        <f>ROUND(SUM(P22:P23)+P28+SUM(P32:P35)+P38,5)</f>
        <v>14.66</v>
      </c>
      <c r="Q39" s="7"/>
      <c r="R39" s="6">
        <f>ROUND(SUM(R22:R23)+R28+SUM(R32:R35)+R38,5)</f>
        <v>1643.81</v>
      </c>
      <c r="S39" s="7"/>
      <c r="T39" s="6">
        <f>ROUND(SUM(T22:T23)+T28+SUM(T32:T35)+T38,5)</f>
        <v>4951.09</v>
      </c>
      <c r="U39" s="7"/>
      <c r="V39" s="6">
        <f>ROUND(SUM(V22:V23)+V28+SUM(V32:V35)+V38,5)</f>
        <v>547.83000000000004</v>
      </c>
      <c r="W39" s="7"/>
      <c r="X39" s="6">
        <f>ROUND(SUM(X22:X23)+X28+SUM(X32:X35)+X38,5)</f>
        <v>842.14</v>
      </c>
      <c r="Y39" s="7"/>
      <c r="Z39" s="6">
        <f>ROUND(SUM(Z22:Z23)+Z28+SUM(Z32:Z35)+Z38,5)</f>
        <v>2500.89</v>
      </c>
      <c r="AA39" s="7"/>
      <c r="AB39" s="6">
        <f>ROUND(SUM(AB22:AB23)+AB28+SUM(AB32:AB35)+AB38,5)</f>
        <v>4444.46</v>
      </c>
      <c r="AC39" s="7"/>
      <c r="AD39" s="6">
        <f>ROUND(SUM(AD22:AD23)+AD28+SUM(AD32:AD35)+AD38,5)</f>
        <v>1149.45</v>
      </c>
      <c r="AE39" s="7"/>
      <c r="AF39" s="6">
        <f>ROUND(SUM(AF22:AF23)+AF28+SUM(AF32:AF35)+AF38,5)</f>
        <v>2628.58</v>
      </c>
      <c r="AG39" s="7"/>
      <c r="AH39" s="6">
        <f>ROUND(SUM(AH22:AH23)+AH28+SUM(AH32:AH35)+AH38,5)</f>
        <v>2492.5500000000002</v>
      </c>
      <c r="AI39" s="7"/>
      <c r="AJ39" s="6">
        <f>ROUND(SUM(AJ22:AJ23)+AJ28+SUM(AJ32:AJ35)+AJ38,5)</f>
        <v>10244.84</v>
      </c>
      <c r="AK39" s="7"/>
      <c r="AL39" s="6">
        <f>ROUND(SUM(AL22:AL23)+AL28+SUM(AL32:AL35)+AL38,5)</f>
        <v>2718.75</v>
      </c>
      <c r="AM39" s="7"/>
      <c r="AN39" s="6">
        <f>ROUND(SUM(AN22:AN23)+AN28+SUM(AN32:AN35)+AN38,5)</f>
        <v>950.58</v>
      </c>
      <c r="AO39" s="7"/>
      <c r="AP39" s="6">
        <f>ROUND(SUM(AP22:AP23)+AP28+SUM(AP32:AP35)+AP38,5)</f>
        <v>3094.04</v>
      </c>
      <c r="AQ39" s="7"/>
      <c r="AR39" s="6">
        <f>ROUND(SUM(AR22:AR23)+AR28+SUM(AR32:AR35)+AR38,5)</f>
        <v>1544.88</v>
      </c>
      <c r="AS39" s="7"/>
      <c r="AT39" s="6">
        <f>ROUND(SUM(AT22:AT23)+AT28+SUM(AT32:AT35)+AT38,5)</f>
        <v>2390.94</v>
      </c>
      <c r="AU39" s="7"/>
      <c r="AV39" s="6">
        <f>ROUND(SUM(AV22:AV23)+AV28+SUM(AV32:AV35)+AV38,5)</f>
        <v>1067.77</v>
      </c>
      <c r="AW39" s="7"/>
      <c r="AX39" s="6">
        <f>ROUND(SUM(AX22:AX23)+AX28+SUM(AX32:AX35)+AX38,5)</f>
        <v>2168.75</v>
      </c>
      <c r="AY39" s="7"/>
      <c r="AZ39" s="6">
        <f>ROUND(SUM(AZ22:AZ23)+AZ28+SUM(AZ32:AZ35)+AZ38,5)</f>
        <v>2225.2399999999998</v>
      </c>
      <c r="BA39" s="7"/>
      <c r="BB39" s="6">
        <f>ROUND(SUM(BB22:BB23)+BB28+SUM(BB32:BB35)+BB38,5)</f>
        <v>1828.46</v>
      </c>
      <c r="BC39" s="7"/>
      <c r="BD39" s="6">
        <f>ROUND(SUM(BD22:BD23)+BD28+SUM(BD32:BD35)+BD38,5)</f>
        <v>3226.66</v>
      </c>
      <c r="BE39" s="7"/>
      <c r="BF39" s="6">
        <f>ROUND(SUM(BF22:BF23)+BF28+SUM(BF32:BF35)+BF38,5)</f>
        <v>4412.95</v>
      </c>
      <c r="BG39" s="7"/>
      <c r="BH39" s="6">
        <f>ROUND(SUM(BH22:BH23)+BH28+SUM(BH32:BH35)+BH38,5)</f>
        <v>2237.4299999999998</v>
      </c>
      <c r="BI39" s="7"/>
      <c r="BJ39" s="6">
        <f>ROUND(SUM(BJ22:BJ23)+BJ28+SUM(BJ32:BJ35)+BJ38,5)</f>
        <v>11430.86</v>
      </c>
      <c r="BK39" s="7"/>
      <c r="BL39" s="6">
        <f>ROUND(SUM(BL22:BL23)+BL28+SUM(BL32:BL35)+BL38,5)</f>
        <v>5329.57</v>
      </c>
      <c r="BM39" s="7"/>
      <c r="BN39" s="6">
        <f>ROUND(SUM(BN22:BN23)+BN28+SUM(BN32:BN35)+BN38,5)</f>
        <v>742.1</v>
      </c>
    </row>
    <row r="40" spans="1:66" outlineLevel="2" x14ac:dyDescent="0.35">
      <c r="A40" s="2"/>
      <c r="B40" s="2"/>
      <c r="C40" s="2"/>
      <c r="D40" s="2"/>
      <c r="E40" s="2" t="s">
        <v>54</v>
      </c>
      <c r="F40" s="2"/>
      <c r="G40" s="2"/>
      <c r="H40" s="6"/>
      <c r="I40" s="7"/>
      <c r="J40" s="6"/>
      <c r="K40" s="7"/>
      <c r="L40" s="6"/>
      <c r="M40" s="7"/>
      <c r="N40" s="6"/>
      <c r="O40" s="7"/>
      <c r="P40" s="6"/>
      <c r="Q40" s="7"/>
      <c r="R40" s="6"/>
      <c r="S40" s="7"/>
      <c r="T40" s="6"/>
      <c r="U40" s="7"/>
      <c r="V40" s="6"/>
      <c r="W40" s="7"/>
      <c r="X40" s="6"/>
      <c r="Y40" s="7"/>
      <c r="Z40" s="6"/>
      <c r="AA40" s="7"/>
      <c r="AB40" s="6"/>
      <c r="AC40" s="7"/>
      <c r="AD40" s="6"/>
      <c r="AE40" s="7"/>
      <c r="AF40" s="6"/>
      <c r="AG40" s="7"/>
      <c r="AH40" s="6"/>
      <c r="AI40" s="7"/>
      <c r="AJ40" s="6"/>
      <c r="AK40" s="7"/>
      <c r="AL40" s="6"/>
      <c r="AM40" s="7"/>
      <c r="AN40" s="6"/>
      <c r="AO40" s="7"/>
      <c r="AP40" s="6"/>
      <c r="AQ40" s="7"/>
      <c r="AR40" s="6"/>
      <c r="AS40" s="7"/>
      <c r="AT40" s="6"/>
      <c r="AU40" s="7"/>
      <c r="AV40" s="6"/>
      <c r="AW40" s="7"/>
      <c r="AX40" s="6"/>
      <c r="AY40" s="7"/>
      <c r="AZ40" s="6"/>
      <c r="BA40" s="7"/>
      <c r="BB40" s="6"/>
      <c r="BC40" s="7"/>
      <c r="BD40" s="6"/>
      <c r="BE40" s="7"/>
      <c r="BF40" s="6"/>
      <c r="BG40" s="7"/>
      <c r="BH40" s="6"/>
      <c r="BI40" s="7"/>
      <c r="BJ40" s="6"/>
      <c r="BK40" s="7"/>
      <c r="BL40" s="6"/>
      <c r="BM40" s="7"/>
      <c r="BN40" s="6"/>
    </row>
    <row r="41" spans="1:66" outlineLevel="2" x14ac:dyDescent="0.35">
      <c r="A41" s="2"/>
      <c r="B41" s="2"/>
      <c r="C41" s="2"/>
      <c r="D41" s="2"/>
      <c r="E41" s="2"/>
      <c r="F41" s="2" t="s">
        <v>55</v>
      </c>
      <c r="G41" s="2"/>
      <c r="H41" s="6">
        <v>0</v>
      </c>
      <c r="I41" s="7"/>
      <c r="J41" s="6">
        <v>0</v>
      </c>
      <c r="K41" s="7"/>
      <c r="L41" s="6">
        <v>0</v>
      </c>
      <c r="M41" s="7"/>
      <c r="N41" s="6">
        <v>0</v>
      </c>
      <c r="O41" s="7"/>
      <c r="P41" s="6">
        <v>0</v>
      </c>
      <c r="Q41" s="7"/>
      <c r="R41" s="6">
        <v>0</v>
      </c>
      <c r="S41" s="7"/>
      <c r="T41" s="6">
        <v>0</v>
      </c>
      <c r="U41" s="7"/>
      <c r="V41" s="6">
        <v>0</v>
      </c>
      <c r="W41" s="7"/>
      <c r="X41" s="6">
        <v>0</v>
      </c>
      <c r="Y41" s="7"/>
      <c r="Z41" s="6">
        <v>0</v>
      </c>
      <c r="AA41" s="7"/>
      <c r="AB41" s="6">
        <v>0</v>
      </c>
      <c r="AC41" s="7"/>
      <c r="AD41" s="6">
        <v>0</v>
      </c>
      <c r="AE41" s="7"/>
      <c r="AF41" s="6">
        <v>0</v>
      </c>
      <c r="AG41" s="7"/>
      <c r="AH41" s="6">
        <v>0</v>
      </c>
      <c r="AI41" s="7"/>
      <c r="AJ41" s="6">
        <v>757.23</v>
      </c>
      <c r="AK41" s="7"/>
      <c r="AL41" s="6">
        <v>0</v>
      </c>
      <c r="AM41" s="7"/>
      <c r="AN41" s="6">
        <v>0</v>
      </c>
      <c r="AO41" s="7"/>
      <c r="AP41" s="6">
        <v>0</v>
      </c>
      <c r="AQ41" s="7"/>
      <c r="AR41" s="6">
        <v>0</v>
      </c>
      <c r="AS41" s="7"/>
      <c r="AT41" s="6">
        <v>1740</v>
      </c>
      <c r="AU41" s="7"/>
      <c r="AV41" s="6">
        <v>0</v>
      </c>
      <c r="AW41" s="7"/>
      <c r="AX41" s="6">
        <v>0</v>
      </c>
      <c r="AY41" s="7"/>
      <c r="AZ41" s="6">
        <v>0</v>
      </c>
      <c r="BA41" s="7"/>
      <c r="BB41" s="6">
        <v>0</v>
      </c>
      <c r="BC41" s="7"/>
      <c r="BD41" s="6">
        <v>0</v>
      </c>
      <c r="BE41" s="7"/>
      <c r="BF41" s="6">
        <v>0</v>
      </c>
      <c r="BG41" s="7"/>
      <c r="BH41" s="6">
        <v>0</v>
      </c>
      <c r="BI41" s="7"/>
      <c r="BJ41" s="6">
        <v>0</v>
      </c>
      <c r="BK41" s="7"/>
      <c r="BL41" s="6">
        <v>0</v>
      </c>
      <c r="BM41" s="7"/>
      <c r="BN41" s="6">
        <v>0</v>
      </c>
    </row>
    <row r="42" spans="1:66" outlineLevel="2" x14ac:dyDescent="0.35">
      <c r="A42" s="2"/>
      <c r="B42" s="2"/>
      <c r="C42" s="2"/>
      <c r="D42" s="2"/>
      <c r="E42" s="2"/>
      <c r="F42" s="2" t="s">
        <v>56</v>
      </c>
      <c r="G42" s="2"/>
      <c r="H42" s="6">
        <v>30</v>
      </c>
      <c r="I42" s="7"/>
      <c r="J42" s="6">
        <v>437</v>
      </c>
      <c r="K42" s="7"/>
      <c r="L42" s="6">
        <v>234.3</v>
      </c>
      <c r="M42" s="7"/>
      <c r="N42" s="6">
        <v>482</v>
      </c>
      <c r="O42" s="7"/>
      <c r="P42" s="6">
        <v>327</v>
      </c>
      <c r="Q42" s="7"/>
      <c r="R42" s="6">
        <v>258.39999999999998</v>
      </c>
      <c r="S42" s="7"/>
      <c r="T42" s="6">
        <v>492</v>
      </c>
      <c r="U42" s="7"/>
      <c r="V42" s="6">
        <v>118.42</v>
      </c>
      <c r="W42" s="7"/>
      <c r="X42" s="6">
        <v>238.3</v>
      </c>
      <c r="Y42" s="7"/>
      <c r="Z42" s="6">
        <v>77</v>
      </c>
      <c r="AA42" s="7"/>
      <c r="AB42" s="6">
        <v>367</v>
      </c>
      <c r="AC42" s="7"/>
      <c r="AD42" s="6">
        <v>543.69000000000005</v>
      </c>
      <c r="AE42" s="7"/>
      <c r="AF42" s="6">
        <v>320</v>
      </c>
      <c r="AG42" s="7"/>
      <c r="AH42" s="6">
        <v>155.5</v>
      </c>
      <c r="AI42" s="7"/>
      <c r="AJ42" s="6">
        <v>665.75</v>
      </c>
      <c r="AK42" s="7"/>
      <c r="AL42" s="6">
        <v>107</v>
      </c>
      <c r="AM42" s="7"/>
      <c r="AN42" s="6">
        <v>77</v>
      </c>
      <c r="AO42" s="7"/>
      <c r="AP42" s="6">
        <v>244.8</v>
      </c>
      <c r="AQ42" s="7"/>
      <c r="AR42" s="6">
        <v>77</v>
      </c>
      <c r="AS42" s="7"/>
      <c r="AT42" s="6">
        <v>77</v>
      </c>
      <c r="AU42" s="7"/>
      <c r="AV42" s="6">
        <v>273.8</v>
      </c>
      <c r="AW42" s="7"/>
      <c r="AX42" s="6">
        <v>77</v>
      </c>
      <c r="AY42" s="7"/>
      <c r="AZ42" s="6">
        <v>244.8</v>
      </c>
      <c r="BA42" s="7"/>
      <c r="BB42" s="6">
        <v>106</v>
      </c>
      <c r="BC42" s="7"/>
      <c r="BD42" s="6">
        <v>454.4</v>
      </c>
      <c r="BE42" s="7"/>
      <c r="BF42" s="6">
        <v>269.8</v>
      </c>
      <c r="BG42" s="7"/>
      <c r="BH42" s="6">
        <v>292.47000000000003</v>
      </c>
      <c r="BI42" s="7"/>
      <c r="BJ42" s="6">
        <v>229</v>
      </c>
      <c r="BK42" s="7"/>
      <c r="BL42" s="6">
        <v>328.8</v>
      </c>
      <c r="BM42" s="7"/>
      <c r="BN42" s="6">
        <v>492</v>
      </c>
    </row>
    <row r="43" spans="1:66" outlineLevel="3" x14ac:dyDescent="0.35">
      <c r="A43" s="2"/>
      <c r="B43" s="2"/>
      <c r="C43" s="2"/>
      <c r="D43" s="2"/>
      <c r="E43" s="2"/>
      <c r="F43" s="2" t="s">
        <v>57</v>
      </c>
      <c r="G43" s="2"/>
      <c r="H43" s="6"/>
      <c r="I43" s="7"/>
      <c r="J43" s="6"/>
      <c r="K43" s="7"/>
      <c r="L43" s="6"/>
      <c r="M43" s="7"/>
      <c r="N43" s="6"/>
      <c r="O43" s="7"/>
      <c r="P43" s="6"/>
      <c r="Q43" s="7"/>
      <c r="R43" s="6"/>
      <c r="S43" s="7"/>
      <c r="T43" s="6"/>
      <c r="U43" s="7"/>
      <c r="V43" s="6"/>
      <c r="W43" s="7"/>
      <c r="X43" s="6"/>
      <c r="Y43" s="7"/>
      <c r="Z43" s="6"/>
      <c r="AA43" s="7"/>
      <c r="AB43" s="6"/>
      <c r="AC43" s="7"/>
      <c r="AD43" s="6"/>
      <c r="AE43" s="7"/>
      <c r="AF43" s="6"/>
      <c r="AG43" s="7"/>
      <c r="AH43" s="6"/>
      <c r="AI43" s="7"/>
      <c r="AJ43" s="6"/>
      <c r="AK43" s="7"/>
      <c r="AL43" s="6"/>
      <c r="AM43" s="7"/>
      <c r="AN43" s="6"/>
      <c r="AO43" s="7"/>
      <c r="AP43" s="6"/>
      <c r="AQ43" s="7"/>
      <c r="AR43" s="6"/>
      <c r="AS43" s="7"/>
      <c r="AT43" s="6"/>
      <c r="AU43" s="7"/>
      <c r="AV43" s="6"/>
      <c r="AW43" s="7"/>
      <c r="AX43" s="6"/>
      <c r="AY43" s="7"/>
      <c r="AZ43" s="6"/>
      <c r="BA43" s="7"/>
      <c r="BB43" s="6"/>
      <c r="BC43" s="7"/>
      <c r="BD43" s="6"/>
      <c r="BE43" s="7"/>
      <c r="BF43" s="6"/>
      <c r="BG43" s="7"/>
      <c r="BH43" s="6"/>
      <c r="BI43" s="7"/>
      <c r="BJ43" s="6"/>
      <c r="BK43" s="7"/>
      <c r="BL43" s="6"/>
      <c r="BM43" s="7"/>
      <c r="BN43" s="6"/>
    </row>
    <row r="44" spans="1:66" outlineLevel="3" x14ac:dyDescent="0.35">
      <c r="A44" s="2"/>
      <c r="B44" s="2"/>
      <c r="C44" s="2"/>
      <c r="D44" s="2"/>
      <c r="E44" s="2"/>
      <c r="F44" s="2"/>
      <c r="G44" s="2" t="s">
        <v>58</v>
      </c>
      <c r="H44" s="6">
        <v>1260.1500000000001</v>
      </c>
      <c r="I44" s="7"/>
      <c r="J44" s="6">
        <v>1281.95</v>
      </c>
      <c r="K44" s="7"/>
      <c r="L44" s="6">
        <v>786.92</v>
      </c>
      <c r="M44" s="7"/>
      <c r="N44" s="6">
        <v>693.81</v>
      </c>
      <c r="O44" s="7"/>
      <c r="P44" s="6">
        <v>655.1</v>
      </c>
      <c r="Q44" s="7"/>
      <c r="R44" s="6">
        <v>1124.3</v>
      </c>
      <c r="S44" s="7"/>
      <c r="T44" s="6">
        <v>815.38</v>
      </c>
      <c r="U44" s="7"/>
      <c r="V44" s="6">
        <v>758.54</v>
      </c>
      <c r="W44" s="7"/>
      <c r="X44" s="6">
        <v>753.23</v>
      </c>
      <c r="Y44" s="7"/>
      <c r="Z44" s="6">
        <v>792.9</v>
      </c>
      <c r="AA44" s="7"/>
      <c r="AB44" s="6">
        <v>913.11</v>
      </c>
      <c r="AC44" s="7"/>
      <c r="AD44" s="6">
        <v>1036.43</v>
      </c>
      <c r="AE44" s="7"/>
      <c r="AF44" s="6">
        <v>1897.14</v>
      </c>
      <c r="AG44" s="7"/>
      <c r="AH44" s="6">
        <v>1378.72</v>
      </c>
      <c r="AI44" s="7"/>
      <c r="AJ44" s="6">
        <v>1322.6</v>
      </c>
      <c r="AK44" s="7"/>
      <c r="AL44" s="6">
        <v>707.5</v>
      </c>
      <c r="AM44" s="7"/>
      <c r="AN44" s="6">
        <v>807.73</v>
      </c>
      <c r="AO44" s="7"/>
      <c r="AP44" s="6">
        <v>1075.3800000000001</v>
      </c>
      <c r="AQ44" s="7"/>
      <c r="AR44" s="6">
        <v>1043.1600000000001</v>
      </c>
      <c r="AS44" s="7"/>
      <c r="AT44" s="6">
        <v>1151.54</v>
      </c>
      <c r="AU44" s="7"/>
      <c r="AV44" s="6">
        <v>1144.8900000000001</v>
      </c>
      <c r="AW44" s="7"/>
      <c r="AX44" s="6">
        <v>919.38</v>
      </c>
      <c r="AY44" s="7"/>
      <c r="AZ44" s="6">
        <v>867.72</v>
      </c>
      <c r="BA44" s="7"/>
      <c r="BB44" s="6">
        <v>1251.94</v>
      </c>
      <c r="BC44" s="7"/>
      <c r="BD44" s="6">
        <v>731.04</v>
      </c>
      <c r="BE44" s="7"/>
      <c r="BF44" s="6">
        <v>794.65</v>
      </c>
      <c r="BG44" s="7"/>
      <c r="BH44" s="6">
        <v>2669.01</v>
      </c>
      <c r="BI44" s="7"/>
      <c r="BJ44" s="6">
        <v>883.67</v>
      </c>
      <c r="BK44" s="7"/>
      <c r="BL44" s="6">
        <v>1009.72</v>
      </c>
      <c r="BM44" s="7"/>
      <c r="BN44" s="6">
        <v>1113.24</v>
      </c>
    </row>
    <row r="45" spans="1:66" ht="15" outlineLevel="3" thickBot="1" x14ac:dyDescent="0.4">
      <c r="A45" s="2"/>
      <c r="B45" s="2"/>
      <c r="C45" s="2"/>
      <c r="D45" s="2"/>
      <c r="E45" s="2"/>
      <c r="F45" s="2"/>
      <c r="G45" s="2" t="s">
        <v>59</v>
      </c>
      <c r="H45" s="9">
        <v>0</v>
      </c>
      <c r="I45" s="7"/>
      <c r="J45" s="9">
        <v>0</v>
      </c>
      <c r="K45" s="7"/>
      <c r="L45" s="9">
        <v>0</v>
      </c>
      <c r="M45" s="7"/>
      <c r="N45" s="9">
        <v>0</v>
      </c>
      <c r="O45" s="7"/>
      <c r="P45" s="9">
        <v>0</v>
      </c>
      <c r="Q45" s="7"/>
      <c r="R45" s="9">
        <v>0</v>
      </c>
      <c r="S45" s="7"/>
      <c r="T45" s="9">
        <v>0</v>
      </c>
      <c r="U45" s="7"/>
      <c r="V45" s="9">
        <v>0</v>
      </c>
      <c r="W45" s="7"/>
      <c r="X45" s="9">
        <v>209.67</v>
      </c>
      <c r="Y45" s="7"/>
      <c r="Z45" s="9">
        <v>0</v>
      </c>
      <c r="AA45" s="7"/>
      <c r="AB45" s="9">
        <v>485.09</v>
      </c>
      <c r="AC45" s="7"/>
      <c r="AD45" s="9">
        <v>0</v>
      </c>
      <c r="AE45" s="7"/>
      <c r="AF45" s="9">
        <v>0</v>
      </c>
      <c r="AG45" s="7"/>
      <c r="AH45" s="9">
        <v>0</v>
      </c>
      <c r="AI45" s="7"/>
      <c r="AJ45" s="9">
        <v>10</v>
      </c>
      <c r="AK45" s="7"/>
      <c r="AL45" s="9">
        <v>266.51</v>
      </c>
      <c r="AM45" s="7"/>
      <c r="AN45" s="9">
        <v>0</v>
      </c>
      <c r="AO45" s="7"/>
      <c r="AP45" s="9">
        <v>0</v>
      </c>
      <c r="AQ45" s="7"/>
      <c r="AR45" s="9">
        <v>0</v>
      </c>
      <c r="AS45" s="7"/>
      <c r="AT45" s="9">
        <v>0</v>
      </c>
      <c r="AU45" s="7"/>
      <c r="AV45" s="9">
        <v>315.77999999999997</v>
      </c>
      <c r="AW45" s="7"/>
      <c r="AX45" s="9">
        <v>0</v>
      </c>
      <c r="AY45" s="7"/>
      <c r="AZ45" s="9">
        <v>0</v>
      </c>
      <c r="BA45" s="7"/>
      <c r="BB45" s="9">
        <v>0</v>
      </c>
      <c r="BC45" s="7"/>
      <c r="BD45" s="9">
        <v>0</v>
      </c>
      <c r="BE45" s="7"/>
      <c r="BF45" s="9">
        <v>0</v>
      </c>
      <c r="BG45" s="7"/>
      <c r="BH45" s="9">
        <v>0</v>
      </c>
      <c r="BI45" s="7"/>
      <c r="BJ45" s="9">
        <v>0</v>
      </c>
      <c r="BK45" s="7"/>
      <c r="BL45" s="9">
        <v>0</v>
      </c>
      <c r="BM45" s="7"/>
      <c r="BN45" s="9">
        <v>0</v>
      </c>
    </row>
    <row r="46" spans="1:66" outlineLevel="2" x14ac:dyDescent="0.35">
      <c r="A46" s="2"/>
      <c r="B46" s="2"/>
      <c r="C46" s="2"/>
      <c r="D46" s="2"/>
      <c r="E46" s="2"/>
      <c r="F46" s="2" t="s">
        <v>61</v>
      </c>
      <c r="G46" s="2"/>
      <c r="H46" s="6">
        <f>ROUND(SUM(H43:H45),5)</f>
        <v>1260.1500000000001</v>
      </c>
      <c r="I46" s="7"/>
      <c r="J46" s="6">
        <f>ROUND(SUM(J43:J45),5)</f>
        <v>1281.95</v>
      </c>
      <c r="K46" s="7"/>
      <c r="L46" s="6">
        <f>ROUND(SUM(L43:L45),5)</f>
        <v>786.92</v>
      </c>
      <c r="M46" s="7"/>
      <c r="N46" s="6">
        <f>ROUND(SUM(N43:N45),5)</f>
        <v>693.81</v>
      </c>
      <c r="O46" s="7"/>
      <c r="P46" s="6">
        <f>ROUND(SUM(P43:P45),5)</f>
        <v>655.1</v>
      </c>
      <c r="Q46" s="7"/>
      <c r="R46" s="6">
        <f>ROUND(SUM(R43:R45),5)</f>
        <v>1124.3</v>
      </c>
      <c r="S46" s="7"/>
      <c r="T46" s="6">
        <f>ROUND(SUM(T43:T45),5)</f>
        <v>815.38</v>
      </c>
      <c r="U46" s="7"/>
      <c r="V46" s="6">
        <f>ROUND(SUM(V43:V45),5)</f>
        <v>758.54</v>
      </c>
      <c r="W46" s="7"/>
      <c r="X46" s="6">
        <f>ROUND(SUM(X43:X45),5)</f>
        <v>962.9</v>
      </c>
      <c r="Y46" s="7"/>
      <c r="Z46" s="6">
        <f>ROUND(SUM(Z43:Z45),5)</f>
        <v>792.9</v>
      </c>
      <c r="AA46" s="7"/>
      <c r="AB46" s="6">
        <f>ROUND(SUM(AB43:AB45),5)</f>
        <v>1398.2</v>
      </c>
      <c r="AC46" s="7"/>
      <c r="AD46" s="6">
        <f>ROUND(SUM(AD43:AD45),5)</f>
        <v>1036.43</v>
      </c>
      <c r="AE46" s="7"/>
      <c r="AF46" s="6">
        <f>ROUND(SUM(AF43:AF45),5)</f>
        <v>1897.14</v>
      </c>
      <c r="AG46" s="7"/>
      <c r="AH46" s="6">
        <f>ROUND(SUM(AH43:AH45),5)</f>
        <v>1378.72</v>
      </c>
      <c r="AI46" s="7"/>
      <c r="AJ46" s="6">
        <f>ROUND(SUM(AJ43:AJ45),5)</f>
        <v>1332.6</v>
      </c>
      <c r="AK46" s="7"/>
      <c r="AL46" s="6">
        <f>ROUND(SUM(AL43:AL45),5)</f>
        <v>974.01</v>
      </c>
      <c r="AM46" s="7"/>
      <c r="AN46" s="6">
        <f>ROUND(SUM(AN43:AN45),5)</f>
        <v>807.73</v>
      </c>
      <c r="AO46" s="7"/>
      <c r="AP46" s="6">
        <f>ROUND(SUM(AP43:AP45),5)</f>
        <v>1075.3800000000001</v>
      </c>
      <c r="AQ46" s="7"/>
      <c r="AR46" s="6">
        <f>ROUND(SUM(AR43:AR45),5)</f>
        <v>1043.1600000000001</v>
      </c>
      <c r="AS46" s="7"/>
      <c r="AT46" s="6">
        <f>ROUND(SUM(AT43:AT45),5)</f>
        <v>1151.54</v>
      </c>
      <c r="AU46" s="7"/>
      <c r="AV46" s="6">
        <f>ROUND(SUM(AV43:AV45),5)</f>
        <v>1460.67</v>
      </c>
      <c r="AW46" s="7"/>
      <c r="AX46" s="6">
        <f>ROUND(SUM(AX43:AX45),5)</f>
        <v>919.38</v>
      </c>
      <c r="AY46" s="7"/>
      <c r="AZ46" s="6">
        <f>ROUND(SUM(AZ43:AZ45),5)</f>
        <v>867.72</v>
      </c>
      <c r="BA46" s="7"/>
      <c r="BB46" s="6">
        <f>ROUND(SUM(BB43:BB45),5)</f>
        <v>1251.94</v>
      </c>
      <c r="BC46" s="7"/>
      <c r="BD46" s="6">
        <f>ROUND(SUM(BD43:BD45),5)</f>
        <v>731.04</v>
      </c>
      <c r="BE46" s="7"/>
      <c r="BF46" s="6">
        <f>ROUND(SUM(BF43:BF45),5)</f>
        <v>794.65</v>
      </c>
      <c r="BG46" s="7"/>
      <c r="BH46" s="6">
        <f>ROUND(SUM(BH43:BH45),5)</f>
        <v>2669.01</v>
      </c>
      <c r="BI46" s="7"/>
      <c r="BJ46" s="6">
        <f>ROUND(SUM(BJ43:BJ45),5)</f>
        <v>883.67</v>
      </c>
      <c r="BK46" s="7"/>
      <c r="BL46" s="6">
        <f>ROUND(SUM(BL43:BL45),5)</f>
        <v>1009.72</v>
      </c>
      <c r="BM46" s="7"/>
      <c r="BN46" s="6">
        <f>ROUND(SUM(BN43:BN45),5)</f>
        <v>1113.24</v>
      </c>
    </row>
    <row r="47" spans="1:66" outlineLevel="2" x14ac:dyDescent="0.35">
      <c r="A47" s="2"/>
      <c r="B47" s="2"/>
      <c r="C47" s="2"/>
      <c r="D47" s="2"/>
      <c r="E47" s="2"/>
      <c r="F47" s="2" t="s">
        <v>62</v>
      </c>
      <c r="G47" s="2"/>
      <c r="H47" s="6">
        <v>250.48</v>
      </c>
      <c r="I47" s="7"/>
      <c r="J47" s="6">
        <v>0</v>
      </c>
      <c r="K47" s="7"/>
      <c r="L47" s="6">
        <v>250.48</v>
      </c>
      <c r="M47" s="7"/>
      <c r="N47" s="6">
        <v>0</v>
      </c>
      <c r="O47" s="7"/>
      <c r="P47" s="6">
        <v>0</v>
      </c>
      <c r="Q47" s="7"/>
      <c r="R47" s="6">
        <v>0</v>
      </c>
      <c r="S47" s="7"/>
      <c r="T47" s="6">
        <v>250.48</v>
      </c>
      <c r="U47" s="7"/>
      <c r="V47" s="6">
        <v>0</v>
      </c>
      <c r="W47" s="7"/>
      <c r="X47" s="6">
        <v>0</v>
      </c>
      <c r="Y47" s="7"/>
      <c r="Z47" s="6">
        <v>161.30000000000001</v>
      </c>
      <c r="AA47" s="7"/>
      <c r="AB47" s="6">
        <v>0</v>
      </c>
      <c r="AC47" s="7"/>
      <c r="AD47" s="6">
        <v>0</v>
      </c>
      <c r="AE47" s="7"/>
      <c r="AF47" s="6">
        <v>287.91000000000003</v>
      </c>
      <c r="AG47" s="7"/>
      <c r="AH47" s="6">
        <v>287.91000000000003</v>
      </c>
      <c r="AI47" s="7"/>
      <c r="AJ47" s="6">
        <v>232.32</v>
      </c>
      <c r="AK47" s="7"/>
      <c r="AL47" s="6">
        <v>0</v>
      </c>
      <c r="AM47" s="7"/>
      <c r="AN47" s="6">
        <v>0</v>
      </c>
      <c r="AO47" s="7"/>
      <c r="AP47" s="6">
        <v>0</v>
      </c>
      <c r="AQ47" s="7"/>
      <c r="AR47" s="6">
        <v>0</v>
      </c>
      <c r="AS47" s="7"/>
      <c r="AT47" s="6">
        <v>303.51</v>
      </c>
      <c r="AU47" s="7"/>
      <c r="AV47" s="6">
        <v>0</v>
      </c>
      <c r="AW47" s="7"/>
      <c r="AX47" s="6">
        <v>0</v>
      </c>
      <c r="AY47" s="7"/>
      <c r="AZ47" s="6">
        <v>0</v>
      </c>
      <c r="BA47" s="7"/>
      <c r="BB47" s="6">
        <v>679.05</v>
      </c>
      <c r="BC47" s="7"/>
      <c r="BD47" s="6">
        <v>0</v>
      </c>
      <c r="BE47" s="7"/>
      <c r="BF47" s="6">
        <v>283.89</v>
      </c>
      <c r="BG47" s="7"/>
      <c r="BH47" s="6">
        <v>0</v>
      </c>
      <c r="BI47" s="7"/>
      <c r="BJ47" s="6">
        <v>0</v>
      </c>
      <c r="BK47" s="7"/>
      <c r="BL47" s="6">
        <v>0</v>
      </c>
      <c r="BM47" s="7"/>
      <c r="BN47" s="6">
        <v>437.69</v>
      </c>
    </row>
    <row r="48" spans="1:66" outlineLevel="3" x14ac:dyDescent="0.35">
      <c r="A48" s="2"/>
      <c r="B48" s="2"/>
      <c r="C48" s="2"/>
      <c r="D48" s="2"/>
      <c r="E48" s="2"/>
      <c r="F48" s="2" t="s">
        <v>63</v>
      </c>
      <c r="G48" s="2"/>
      <c r="H48" s="6"/>
      <c r="I48" s="7"/>
      <c r="J48" s="6"/>
      <c r="K48" s="7"/>
      <c r="L48" s="6"/>
      <c r="M48" s="7"/>
      <c r="N48" s="6"/>
      <c r="O48" s="7"/>
      <c r="P48" s="6"/>
      <c r="Q48" s="7"/>
      <c r="R48" s="6"/>
      <c r="S48" s="7"/>
      <c r="T48" s="6"/>
      <c r="U48" s="7"/>
      <c r="V48" s="6"/>
      <c r="W48" s="7"/>
      <c r="X48" s="6"/>
      <c r="Y48" s="7"/>
      <c r="Z48" s="6"/>
      <c r="AA48" s="7"/>
      <c r="AB48" s="6"/>
      <c r="AC48" s="7"/>
      <c r="AD48" s="6"/>
      <c r="AE48" s="7"/>
      <c r="AF48" s="6"/>
      <c r="AG48" s="7"/>
      <c r="AH48" s="6"/>
      <c r="AI48" s="7"/>
      <c r="AJ48" s="6"/>
      <c r="AK48" s="7"/>
      <c r="AL48" s="6"/>
      <c r="AM48" s="7"/>
      <c r="AN48" s="6"/>
      <c r="AO48" s="7"/>
      <c r="AP48" s="6"/>
      <c r="AQ48" s="7"/>
      <c r="AR48" s="6"/>
      <c r="AS48" s="7"/>
      <c r="AT48" s="6"/>
      <c r="AU48" s="7"/>
      <c r="AV48" s="6"/>
      <c r="AW48" s="7"/>
      <c r="AX48" s="6"/>
      <c r="AY48" s="7"/>
      <c r="AZ48" s="6"/>
      <c r="BA48" s="7"/>
      <c r="BB48" s="6"/>
      <c r="BC48" s="7"/>
      <c r="BD48" s="6"/>
      <c r="BE48" s="7"/>
      <c r="BF48" s="6"/>
      <c r="BG48" s="7"/>
      <c r="BH48" s="6"/>
      <c r="BI48" s="7"/>
      <c r="BJ48" s="6"/>
      <c r="BK48" s="7"/>
      <c r="BL48" s="6"/>
      <c r="BM48" s="7"/>
      <c r="BN48" s="6"/>
    </row>
    <row r="49" spans="1:66" outlineLevel="3" x14ac:dyDescent="0.35">
      <c r="A49" s="2"/>
      <c r="B49" s="2"/>
      <c r="C49" s="2"/>
      <c r="D49" s="2"/>
      <c r="E49" s="2"/>
      <c r="F49" s="2"/>
      <c r="G49" s="2" t="s">
        <v>64</v>
      </c>
      <c r="H49" s="6">
        <v>36.42</v>
      </c>
      <c r="I49" s="7"/>
      <c r="J49" s="6">
        <v>39.090000000000003</v>
      </c>
      <c r="K49" s="7"/>
      <c r="L49" s="6">
        <v>0</v>
      </c>
      <c r="M49" s="7"/>
      <c r="N49" s="6">
        <v>60.5</v>
      </c>
      <c r="O49" s="7"/>
      <c r="P49" s="6">
        <v>368.68</v>
      </c>
      <c r="Q49" s="7"/>
      <c r="R49" s="6">
        <v>145.91</v>
      </c>
      <c r="S49" s="7"/>
      <c r="T49" s="6">
        <v>187.26</v>
      </c>
      <c r="U49" s="7"/>
      <c r="V49" s="6">
        <v>0</v>
      </c>
      <c r="W49" s="7"/>
      <c r="X49" s="6">
        <v>150.37</v>
      </c>
      <c r="Y49" s="7"/>
      <c r="Z49" s="6">
        <v>0</v>
      </c>
      <c r="AA49" s="7"/>
      <c r="AB49" s="6">
        <v>0</v>
      </c>
      <c r="AC49" s="7"/>
      <c r="AD49" s="6">
        <v>0</v>
      </c>
      <c r="AE49" s="7"/>
      <c r="AF49" s="6">
        <v>134.47</v>
      </c>
      <c r="AG49" s="7"/>
      <c r="AH49" s="6">
        <v>0</v>
      </c>
      <c r="AI49" s="7"/>
      <c r="AJ49" s="6">
        <v>21.02</v>
      </c>
      <c r="AK49" s="7"/>
      <c r="AL49" s="6">
        <v>0</v>
      </c>
      <c r="AM49" s="7"/>
      <c r="AN49" s="6">
        <v>16.27</v>
      </c>
      <c r="AO49" s="7"/>
      <c r="AP49" s="6">
        <v>0</v>
      </c>
      <c r="AQ49" s="7"/>
      <c r="AR49" s="6">
        <v>-50</v>
      </c>
      <c r="AS49" s="7"/>
      <c r="AT49" s="6">
        <v>0</v>
      </c>
      <c r="AU49" s="7"/>
      <c r="AV49" s="6">
        <v>0</v>
      </c>
      <c r="AW49" s="7"/>
      <c r="AX49" s="6">
        <v>0</v>
      </c>
      <c r="AY49" s="7"/>
      <c r="AZ49" s="6">
        <v>0</v>
      </c>
      <c r="BA49" s="7"/>
      <c r="BB49" s="6">
        <v>102.64</v>
      </c>
      <c r="BC49" s="7"/>
      <c r="BD49" s="6">
        <v>1262.3599999999999</v>
      </c>
      <c r="BE49" s="7"/>
      <c r="BF49" s="6">
        <v>29.35</v>
      </c>
      <c r="BG49" s="7"/>
      <c r="BH49" s="6">
        <v>0</v>
      </c>
      <c r="BI49" s="7"/>
      <c r="BJ49" s="6">
        <v>203.73</v>
      </c>
      <c r="BK49" s="7"/>
      <c r="BL49" s="6">
        <v>0</v>
      </c>
      <c r="BM49" s="7"/>
      <c r="BN49" s="6">
        <v>0</v>
      </c>
    </row>
    <row r="50" spans="1:66" ht="15" outlineLevel="3" thickBot="1" x14ac:dyDescent="0.4">
      <c r="A50" s="2"/>
      <c r="B50" s="2"/>
      <c r="C50" s="2"/>
      <c r="D50" s="2"/>
      <c r="E50" s="2"/>
      <c r="F50" s="2"/>
      <c r="G50" s="2" t="s">
        <v>65</v>
      </c>
      <c r="H50" s="9">
        <v>885.7</v>
      </c>
      <c r="I50" s="7"/>
      <c r="J50" s="9">
        <v>331.81</v>
      </c>
      <c r="K50" s="7"/>
      <c r="L50" s="9">
        <v>422.5</v>
      </c>
      <c r="M50" s="7"/>
      <c r="N50" s="9">
        <v>431.88</v>
      </c>
      <c r="O50" s="7"/>
      <c r="P50" s="9">
        <v>315.82</v>
      </c>
      <c r="Q50" s="7"/>
      <c r="R50" s="9">
        <v>188.34</v>
      </c>
      <c r="S50" s="7"/>
      <c r="T50" s="9">
        <v>1195.93</v>
      </c>
      <c r="U50" s="7"/>
      <c r="V50" s="9">
        <v>335.69</v>
      </c>
      <c r="W50" s="7"/>
      <c r="X50" s="9">
        <v>311.67</v>
      </c>
      <c r="Y50" s="7"/>
      <c r="Z50" s="9">
        <v>264.11</v>
      </c>
      <c r="AA50" s="7"/>
      <c r="AB50" s="9">
        <v>190.89</v>
      </c>
      <c r="AC50" s="7"/>
      <c r="AD50" s="9">
        <v>261.16000000000003</v>
      </c>
      <c r="AE50" s="7"/>
      <c r="AF50" s="9">
        <v>173.35</v>
      </c>
      <c r="AG50" s="7"/>
      <c r="AH50" s="9">
        <v>590.45000000000005</v>
      </c>
      <c r="AI50" s="7"/>
      <c r="AJ50" s="9">
        <v>314.24</v>
      </c>
      <c r="AK50" s="7"/>
      <c r="AL50" s="9">
        <v>315.25</v>
      </c>
      <c r="AM50" s="7"/>
      <c r="AN50" s="9">
        <v>197.2</v>
      </c>
      <c r="AO50" s="7"/>
      <c r="AP50" s="9">
        <v>338.5</v>
      </c>
      <c r="AQ50" s="7"/>
      <c r="AR50" s="9">
        <v>201.74</v>
      </c>
      <c r="AS50" s="7"/>
      <c r="AT50" s="9">
        <v>272.27999999999997</v>
      </c>
      <c r="AU50" s="7"/>
      <c r="AV50" s="9">
        <v>306.82</v>
      </c>
      <c r="AW50" s="7"/>
      <c r="AX50" s="9">
        <v>227.71</v>
      </c>
      <c r="AY50" s="7"/>
      <c r="AZ50" s="9">
        <v>238.05</v>
      </c>
      <c r="BA50" s="7"/>
      <c r="BB50" s="9">
        <v>472.38</v>
      </c>
      <c r="BC50" s="7"/>
      <c r="BD50" s="9">
        <v>356.06</v>
      </c>
      <c r="BE50" s="7"/>
      <c r="BF50" s="9">
        <v>683.6</v>
      </c>
      <c r="BG50" s="7"/>
      <c r="BH50" s="9">
        <v>237.15</v>
      </c>
      <c r="BI50" s="7"/>
      <c r="BJ50" s="9">
        <v>1018.17</v>
      </c>
      <c r="BK50" s="7"/>
      <c r="BL50" s="9">
        <v>298.91000000000003</v>
      </c>
      <c r="BM50" s="7"/>
      <c r="BN50" s="9">
        <v>431.25</v>
      </c>
    </row>
    <row r="51" spans="1:66" outlineLevel="2" x14ac:dyDescent="0.35">
      <c r="A51" s="2"/>
      <c r="B51" s="2"/>
      <c r="C51" s="2"/>
      <c r="D51" s="2"/>
      <c r="E51" s="2"/>
      <c r="F51" s="2" t="s">
        <v>66</v>
      </c>
      <c r="G51" s="2"/>
      <c r="H51" s="6">
        <f>ROUND(SUM(H48:H50),5)</f>
        <v>922.12</v>
      </c>
      <c r="I51" s="7"/>
      <c r="J51" s="6">
        <f>ROUND(SUM(J48:J50),5)</f>
        <v>370.9</v>
      </c>
      <c r="K51" s="7"/>
      <c r="L51" s="6">
        <f>ROUND(SUM(L48:L50),5)</f>
        <v>422.5</v>
      </c>
      <c r="M51" s="7"/>
      <c r="N51" s="6">
        <f>ROUND(SUM(N48:N50),5)</f>
        <v>492.38</v>
      </c>
      <c r="O51" s="7"/>
      <c r="P51" s="6">
        <f>ROUND(SUM(P48:P50),5)</f>
        <v>684.5</v>
      </c>
      <c r="Q51" s="7"/>
      <c r="R51" s="6">
        <f>ROUND(SUM(R48:R50),5)</f>
        <v>334.25</v>
      </c>
      <c r="S51" s="7"/>
      <c r="T51" s="6">
        <f>ROUND(SUM(T48:T50),5)</f>
        <v>1383.19</v>
      </c>
      <c r="U51" s="7"/>
      <c r="V51" s="6">
        <f>ROUND(SUM(V48:V50),5)</f>
        <v>335.69</v>
      </c>
      <c r="W51" s="7"/>
      <c r="X51" s="6">
        <f>ROUND(SUM(X48:X50),5)</f>
        <v>462.04</v>
      </c>
      <c r="Y51" s="7"/>
      <c r="Z51" s="6">
        <f>ROUND(SUM(Z48:Z50),5)</f>
        <v>264.11</v>
      </c>
      <c r="AA51" s="7"/>
      <c r="AB51" s="6">
        <f>ROUND(SUM(AB48:AB50),5)</f>
        <v>190.89</v>
      </c>
      <c r="AC51" s="7"/>
      <c r="AD51" s="6">
        <f>ROUND(SUM(AD48:AD50),5)</f>
        <v>261.16000000000003</v>
      </c>
      <c r="AE51" s="7"/>
      <c r="AF51" s="6">
        <f>ROUND(SUM(AF48:AF50),5)</f>
        <v>307.82</v>
      </c>
      <c r="AG51" s="7"/>
      <c r="AH51" s="6">
        <f>ROUND(SUM(AH48:AH50),5)</f>
        <v>590.45000000000005</v>
      </c>
      <c r="AI51" s="7"/>
      <c r="AJ51" s="6">
        <f>ROUND(SUM(AJ48:AJ50),5)</f>
        <v>335.26</v>
      </c>
      <c r="AK51" s="7"/>
      <c r="AL51" s="6">
        <f>ROUND(SUM(AL48:AL50),5)</f>
        <v>315.25</v>
      </c>
      <c r="AM51" s="7"/>
      <c r="AN51" s="6">
        <f>ROUND(SUM(AN48:AN50),5)</f>
        <v>213.47</v>
      </c>
      <c r="AO51" s="7"/>
      <c r="AP51" s="6">
        <f>ROUND(SUM(AP48:AP50),5)</f>
        <v>338.5</v>
      </c>
      <c r="AQ51" s="7"/>
      <c r="AR51" s="6">
        <f>ROUND(SUM(AR48:AR50),5)</f>
        <v>151.74</v>
      </c>
      <c r="AS51" s="7"/>
      <c r="AT51" s="6">
        <f>ROUND(SUM(AT48:AT50),5)</f>
        <v>272.27999999999997</v>
      </c>
      <c r="AU51" s="7"/>
      <c r="AV51" s="6">
        <f>ROUND(SUM(AV48:AV50),5)</f>
        <v>306.82</v>
      </c>
      <c r="AW51" s="7"/>
      <c r="AX51" s="6">
        <f>ROUND(SUM(AX48:AX50),5)</f>
        <v>227.71</v>
      </c>
      <c r="AY51" s="7"/>
      <c r="AZ51" s="6">
        <f>ROUND(SUM(AZ48:AZ50),5)</f>
        <v>238.05</v>
      </c>
      <c r="BA51" s="7"/>
      <c r="BB51" s="6">
        <f>ROUND(SUM(BB48:BB50),5)</f>
        <v>575.02</v>
      </c>
      <c r="BC51" s="7"/>
      <c r="BD51" s="6">
        <f>ROUND(SUM(BD48:BD50),5)</f>
        <v>1618.42</v>
      </c>
      <c r="BE51" s="7"/>
      <c r="BF51" s="6">
        <f>ROUND(SUM(BF48:BF50),5)</f>
        <v>712.95</v>
      </c>
      <c r="BG51" s="7"/>
      <c r="BH51" s="6">
        <f>ROUND(SUM(BH48:BH50),5)</f>
        <v>237.15</v>
      </c>
      <c r="BI51" s="7"/>
      <c r="BJ51" s="6">
        <f>ROUND(SUM(BJ48:BJ50),5)</f>
        <v>1221.9000000000001</v>
      </c>
      <c r="BK51" s="7"/>
      <c r="BL51" s="6">
        <f>ROUND(SUM(BL48:BL50),5)</f>
        <v>298.91000000000003</v>
      </c>
      <c r="BM51" s="7"/>
      <c r="BN51" s="6">
        <f>ROUND(SUM(BN48:BN50),5)</f>
        <v>431.25</v>
      </c>
    </row>
    <row r="52" spans="1:66" outlineLevel="2" x14ac:dyDescent="0.35">
      <c r="A52" s="2"/>
      <c r="B52" s="2"/>
      <c r="C52" s="2"/>
      <c r="D52" s="2"/>
      <c r="E52" s="2"/>
      <c r="F52" s="2" t="s">
        <v>67</v>
      </c>
      <c r="G52" s="2"/>
      <c r="H52" s="6">
        <v>0</v>
      </c>
      <c r="I52" s="7"/>
      <c r="J52" s="6">
        <v>3418.3</v>
      </c>
      <c r="K52" s="7"/>
      <c r="L52" s="6">
        <v>2012.46</v>
      </c>
      <c r="M52" s="7"/>
      <c r="N52" s="6">
        <v>450.32</v>
      </c>
      <c r="O52" s="7"/>
      <c r="P52" s="6">
        <v>584</v>
      </c>
      <c r="Q52" s="7"/>
      <c r="R52" s="6">
        <v>22.47</v>
      </c>
      <c r="S52" s="7"/>
      <c r="T52" s="6">
        <v>356</v>
      </c>
      <c r="U52" s="7"/>
      <c r="V52" s="6">
        <v>2827.49</v>
      </c>
      <c r="W52" s="7"/>
      <c r="X52" s="6">
        <v>1597.4</v>
      </c>
      <c r="Y52" s="7"/>
      <c r="Z52" s="6">
        <v>586</v>
      </c>
      <c r="AA52" s="7"/>
      <c r="AB52" s="6">
        <v>176</v>
      </c>
      <c r="AC52" s="7"/>
      <c r="AD52" s="6">
        <v>320</v>
      </c>
      <c r="AE52" s="7"/>
      <c r="AF52" s="6">
        <v>3402.44</v>
      </c>
      <c r="AG52" s="7"/>
      <c r="AH52" s="6">
        <v>0</v>
      </c>
      <c r="AI52" s="7"/>
      <c r="AJ52" s="6">
        <v>4735.25</v>
      </c>
      <c r="AK52" s="7"/>
      <c r="AL52" s="6">
        <v>0</v>
      </c>
      <c r="AM52" s="7"/>
      <c r="AN52" s="6">
        <v>0</v>
      </c>
      <c r="AO52" s="7"/>
      <c r="AP52" s="6">
        <v>0</v>
      </c>
      <c r="AQ52" s="7"/>
      <c r="AR52" s="6">
        <v>22</v>
      </c>
      <c r="AS52" s="7"/>
      <c r="AT52" s="6">
        <v>0</v>
      </c>
      <c r="AU52" s="7"/>
      <c r="AV52" s="6">
        <v>0</v>
      </c>
      <c r="AW52" s="7"/>
      <c r="AX52" s="6">
        <v>181.05</v>
      </c>
      <c r="AY52" s="7"/>
      <c r="AZ52" s="6">
        <v>0</v>
      </c>
      <c r="BA52" s="7"/>
      <c r="BB52" s="6">
        <v>0</v>
      </c>
      <c r="BC52" s="7"/>
      <c r="BD52" s="6">
        <v>1942.47</v>
      </c>
      <c r="BE52" s="7"/>
      <c r="BF52" s="6">
        <v>3675.1</v>
      </c>
      <c r="BG52" s="7"/>
      <c r="BH52" s="6">
        <v>176</v>
      </c>
      <c r="BI52" s="7"/>
      <c r="BJ52" s="6">
        <v>3989.69</v>
      </c>
      <c r="BK52" s="7"/>
      <c r="BL52" s="6">
        <v>0</v>
      </c>
      <c r="BM52" s="7"/>
      <c r="BN52" s="6">
        <v>0</v>
      </c>
    </row>
    <row r="53" spans="1:66" ht="15" outlineLevel="2" thickBot="1" x14ac:dyDescent="0.4">
      <c r="A53" s="2"/>
      <c r="B53" s="2"/>
      <c r="C53" s="2"/>
      <c r="D53" s="2"/>
      <c r="E53" s="2"/>
      <c r="F53" s="2" t="s">
        <v>68</v>
      </c>
      <c r="G53" s="2"/>
      <c r="H53" s="9">
        <v>224.84</v>
      </c>
      <c r="I53" s="7"/>
      <c r="J53" s="9">
        <v>380.45</v>
      </c>
      <c r="K53" s="7"/>
      <c r="L53" s="9">
        <v>315.23</v>
      </c>
      <c r="M53" s="7"/>
      <c r="N53" s="9">
        <v>248.08</v>
      </c>
      <c r="O53" s="7"/>
      <c r="P53" s="9">
        <v>222.84</v>
      </c>
      <c r="Q53" s="7"/>
      <c r="R53" s="9">
        <v>222.84</v>
      </c>
      <c r="S53" s="7"/>
      <c r="T53" s="9">
        <v>0</v>
      </c>
      <c r="U53" s="7"/>
      <c r="V53" s="9">
        <v>0</v>
      </c>
      <c r="W53" s="7"/>
      <c r="X53" s="9">
        <v>122.21</v>
      </c>
      <c r="Y53" s="7"/>
      <c r="Z53" s="9">
        <v>445.67</v>
      </c>
      <c r="AA53" s="7"/>
      <c r="AB53" s="9">
        <v>1314.47</v>
      </c>
      <c r="AC53" s="7"/>
      <c r="AD53" s="9">
        <v>510.6</v>
      </c>
      <c r="AE53" s="7"/>
      <c r="AF53" s="9">
        <v>315.23</v>
      </c>
      <c r="AG53" s="7"/>
      <c r="AH53" s="9">
        <v>315.23</v>
      </c>
      <c r="AI53" s="7"/>
      <c r="AJ53" s="9">
        <v>157.62</v>
      </c>
      <c r="AK53" s="7"/>
      <c r="AL53" s="9">
        <v>373.34</v>
      </c>
      <c r="AM53" s="7"/>
      <c r="AN53" s="9">
        <v>152.18</v>
      </c>
      <c r="AO53" s="7"/>
      <c r="AP53" s="9">
        <v>0</v>
      </c>
      <c r="AQ53" s="7"/>
      <c r="AR53" s="9">
        <v>31.37</v>
      </c>
      <c r="AS53" s="7"/>
      <c r="AT53" s="9">
        <v>0</v>
      </c>
      <c r="AU53" s="7"/>
      <c r="AV53" s="9">
        <v>0</v>
      </c>
      <c r="AW53" s="7"/>
      <c r="AX53" s="9">
        <v>358.71</v>
      </c>
      <c r="AY53" s="7"/>
      <c r="AZ53" s="9">
        <v>358.71</v>
      </c>
      <c r="BA53" s="7"/>
      <c r="BB53" s="9">
        <v>239.14</v>
      </c>
      <c r="BC53" s="7"/>
      <c r="BD53" s="9">
        <v>385.71</v>
      </c>
      <c r="BE53" s="7"/>
      <c r="BF53" s="9">
        <v>304.36</v>
      </c>
      <c r="BG53" s="7"/>
      <c r="BH53" s="9">
        <v>456.54</v>
      </c>
      <c r="BI53" s="7"/>
      <c r="BJ53" s="9">
        <v>304.36</v>
      </c>
      <c r="BK53" s="7"/>
      <c r="BL53" s="9">
        <v>232.03</v>
      </c>
      <c r="BM53" s="7"/>
      <c r="BN53" s="9">
        <v>2000</v>
      </c>
    </row>
    <row r="54" spans="1:66" outlineLevel="1" x14ac:dyDescent="0.35">
      <c r="A54" s="2"/>
      <c r="B54" s="2"/>
      <c r="C54" s="2"/>
      <c r="D54" s="2"/>
      <c r="E54" s="2" t="s">
        <v>69</v>
      </c>
      <c r="F54" s="2"/>
      <c r="G54" s="2"/>
      <c r="H54" s="6">
        <f>ROUND(SUM(H40:H42)+SUM(H46:H47)+SUM(H51:H53),5)</f>
        <v>2687.59</v>
      </c>
      <c r="I54" s="7"/>
      <c r="J54" s="6">
        <f>ROUND(SUM(J40:J42)+SUM(J46:J47)+SUM(J51:J53),5)</f>
        <v>5888.6</v>
      </c>
      <c r="K54" s="7"/>
      <c r="L54" s="6">
        <f>ROUND(SUM(L40:L42)+SUM(L46:L47)+SUM(L51:L53),5)</f>
        <v>4021.89</v>
      </c>
      <c r="M54" s="7"/>
      <c r="N54" s="6">
        <f>ROUND(SUM(N40:N42)+SUM(N46:N47)+SUM(N51:N53),5)</f>
        <v>2366.59</v>
      </c>
      <c r="O54" s="7"/>
      <c r="P54" s="6">
        <f>ROUND(SUM(P40:P42)+SUM(P46:P47)+SUM(P51:P53),5)</f>
        <v>2473.44</v>
      </c>
      <c r="Q54" s="7"/>
      <c r="R54" s="6">
        <f>ROUND(SUM(R40:R42)+SUM(R46:R47)+SUM(R51:R53),5)</f>
        <v>1962.26</v>
      </c>
      <c r="S54" s="7"/>
      <c r="T54" s="6">
        <f>ROUND(SUM(T40:T42)+SUM(T46:T47)+SUM(T51:T53),5)</f>
        <v>3297.05</v>
      </c>
      <c r="U54" s="7"/>
      <c r="V54" s="6">
        <f>ROUND(SUM(V40:V42)+SUM(V46:V47)+SUM(V51:V53),5)</f>
        <v>4040.14</v>
      </c>
      <c r="W54" s="7"/>
      <c r="X54" s="6">
        <f>ROUND(SUM(X40:X42)+SUM(X46:X47)+SUM(X51:X53),5)</f>
        <v>3382.85</v>
      </c>
      <c r="Y54" s="7"/>
      <c r="Z54" s="6">
        <f>ROUND(SUM(Z40:Z42)+SUM(Z46:Z47)+SUM(Z51:Z53),5)</f>
        <v>2326.98</v>
      </c>
      <c r="AA54" s="7"/>
      <c r="AB54" s="6">
        <f>ROUND(SUM(AB40:AB42)+SUM(AB46:AB47)+SUM(AB51:AB53),5)</f>
        <v>3446.56</v>
      </c>
      <c r="AC54" s="7"/>
      <c r="AD54" s="6">
        <f>ROUND(SUM(AD40:AD42)+SUM(AD46:AD47)+SUM(AD51:AD53),5)</f>
        <v>2671.88</v>
      </c>
      <c r="AE54" s="7"/>
      <c r="AF54" s="6">
        <f>ROUND(SUM(AF40:AF42)+SUM(AF46:AF47)+SUM(AF51:AF53),5)</f>
        <v>6530.54</v>
      </c>
      <c r="AG54" s="7"/>
      <c r="AH54" s="6">
        <f>ROUND(SUM(AH40:AH42)+SUM(AH46:AH47)+SUM(AH51:AH53),5)</f>
        <v>2727.81</v>
      </c>
      <c r="AI54" s="7"/>
      <c r="AJ54" s="6">
        <f>ROUND(SUM(AJ40:AJ42)+SUM(AJ46:AJ47)+SUM(AJ51:AJ53),5)</f>
        <v>8216.0300000000007</v>
      </c>
      <c r="AK54" s="7"/>
      <c r="AL54" s="6">
        <f>ROUND(SUM(AL40:AL42)+SUM(AL46:AL47)+SUM(AL51:AL53),5)</f>
        <v>1769.6</v>
      </c>
      <c r="AM54" s="7"/>
      <c r="AN54" s="6">
        <f>ROUND(SUM(AN40:AN42)+SUM(AN46:AN47)+SUM(AN51:AN53),5)</f>
        <v>1250.3800000000001</v>
      </c>
      <c r="AO54" s="7"/>
      <c r="AP54" s="6">
        <f>ROUND(SUM(AP40:AP42)+SUM(AP46:AP47)+SUM(AP51:AP53),5)</f>
        <v>1658.68</v>
      </c>
      <c r="AQ54" s="7"/>
      <c r="AR54" s="6">
        <f>ROUND(SUM(AR40:AR42)+SUM(AR46:AR47)+SUM(AR51:AR53),5)</f>
        <v>1325.27</v>
      </c>
      <c r="AS54" s="7"/>
      <c r="AT54" s="6">
        <f>ROUND(SUM(AT40:AT42)+SUM(AT46:AT47)+SUM(AT51:AT53),5)</f>
        <v>3544.33</v>
      </c>
      <c r="AU54" s="7"/>
      <c r="AV54" s="6">
        <f>ROUND(SUM(AV40:AV42)+SUM(AV46:AV47)+SUM(AV51:AV53),5)</f>
        <v>2041.29</v>
      </c>
      <c r="AW54" s="7"/>
      <c r="AX54" s="6">
        <f>ROUND(SUM(AX40:AX42)+SUM(AX46:AX47)+SUM(AX51:AX53),5)</f>
        <v>1763.85</v>
      </c>
      <c r="AY54" s="7"/>
      <c r="AZ54" s="6">
        <f>ROUND(SUM(AZ40:AZ42)+SUM(AZ46:AZ47)+SUM(AZ51:AZ53),5)</f>
        <v>1709.28</v>
      </c>
      <c r="BA54" s="7"/>
      <c r="BB54" s="6">
        <f>ROUND(SUM(BB40:BB42)+SUM(BB46:BB47)+SUM(BB51:BB53),5)</f>
        <v>2851.15</v>
      </c>
      <c r="BC54" s="7"/>
      <c r="BD54" s="6">
        <f>ROUND(SUM(BD40:BD42)+SUM(BD46:BD47)+SUM(BD51:BD53),5)</f>
        <v>5132.04</v>
      </c>
      <c r="BE54" s="7"/>
      <c r="BF54" s="6">
        <f>ROUND(SUM(BF40:BF42)+SUM(BF46:BF47)+SUM(BF51:BF53),5)</f>
        <v>6040.75</v>
      </c>
      <c r="BG54" s="7"/>
      <c r="BH54" s="6">
        <f>ROUND(SUM(BH40:BH42)+SUM(BH46:BH47)+SUM(BH51:BH53),5)</f>
        <v>3831.17</v>
      </c>
      <c r="BI54" s="7"/>
      <c r="BJ54" s="6">
        <f>ROUND(SUM(BJ40:BJ42)+SUM(BJ46:BJ47)+SUM(BJ51:BJ53),5)</f>
        <v>6628.62</v>
      </c>
      <c r="BK54" s="7"/>
      <c r="BL54" s="6">
        <f>ROUND(SUM(BL40:BL42)+SUM(BL46:BL47)+SUM(BL51:BL53),5)</f>
        <v>1869.46</v>
      </c>
      <c r="BM54" s="7"/>
      <c r="BN54" s="6">
        <f>ROUND(SUM(BN40:BN42)+SUM(BN46:BN47)+SUM(BN51:BN53),5)</f>
        <v>4474.18</v>
      </c>
    </row>
    <row r="55" spans="1:66" outlineLevel="2" x14ac:dyDescent="0.35">
      <c r="A55" s="2"/>
      <c r="B55" s="2"/>
      <c r="C55" s="2"/>
      <c r="D55" s="2"/>
      <c r="E55" s="2" t="s">
        <v>70</v>
      </c>
      <c r="F55" s="2"/>
      <c r="G55" s="2"/>
      <c r="H55" s="6"/>
      <c r="I55" s="7"/>
      <c r="J55" s="6"/>
      <c r="K55" s="7"/>
      <c r="L55" s="6"/>
      <c r="M55" s="7"/>
      <c r="N55" s="6"/>
      <c r="O55" s="7"/>
      <c r="P55" s="6"/>
      <c r="Q55" s="7"/>
      <c r="R55" s="6"/>
      <c r="S55" s="7"/>
      <c r="T55" s="6"/>
      <c r="U55" s="7"/>
      <c r="V55" s="6"/>
      <c r="W55" s="7"/>
      <c r="X55" s="6"/>
      <c r="Y55" s="7"/>
      <c r="Z55" s="6"/>
      <c r="AA55" s="7"/>
      <c r="AB55" s="6"/>
      <c r="AC55" s="7"/>
      <c r="AD55" s="6"/>
      <c r="AE55" s="7"/>
      <c r="AF55" s="6"/>
      <c r="AG55" s="7"/>
      <c r="AH55" s="6"/>
      <c r="AI55" s="7"/>
      <c r="AJ55" s="6"/>
      <c r="AK55" s="7"/>
      <c r="AL55" s="6"/>
      <c r="AM55" s="7"/>
      <c r="AN55" s="6"/>
      <c r="AO55" s="7"/>
      <c r="AP55" s="6"/>
      <c r="AQ55" s="7"/>
      <c r="AR55" s="6"/>
      <c r="AS55" s="7"/>
      <c r="AT55" s="6"/>
      <c r="AU55" s="7"/>
      <c r="AV55" s="6"/>
      <c r="AW55" s="7"/>
      <c r="AX55" s="6"/>
      <c r="AY55" s="7"/>
      <c r="AZ55" s="6"/>
      <c r="BA55" s="7"/>
      <c r="BB55" s="6"/>
      <c r="BC55" s="7"/>
      <c r="BD55" s="6"/>
      <c r="BE55" s="7"/>
      <c r="BF55" s="6"/>
      <c r="BG55" s="7"/>
      <c r="BH55" s="6"/>
      <c r="BI55" s="7"/>
      <c r="BJ55" s="6"/>
      <c r="BK55" s="7"/>
      <c r="BL55" s="6"/>
      <c r="BM55" s="7"/>
      <c r="BN55" s="6"/>
    </row>
    <row r="56" spans="1:66" outlineLevel="2" x14ac:dyDescent="0.35">
      <c r="A56" s="2"/>
      <c r="B56" s="2"/>
      <c r="C56" s="2"/>
      <c r="D56" s="2"/>
      <c r="E56" s="2"/>
      <c r="F56" s="2" t="s">
        <v>71</v>
      </c>
      <c r="G56" s="2"/>
      <c r="H56" s="6">
        <v>0</v>
      </c>
      <c r="I56" s="7"/>
      <c r="J56" s="6">
        <v>0</v>
      </c>
      <c r="K56" s="7"/>
      <c r="L56" s="6">
        <v>0</v>
      </c>
      <c r="M56" s="7"/>
      <c r="N56" s="6">
        <v>1690.78</v>
      </c>
      <c r="O56" s="7"/>
      <c r="P56" s="6">
        <v>0</v>
      </c>
      <c r="Q56" s="7"/>
      <c r="R56" s="6">
        <v>0</v>
      </c>
      <c r="S56" s="7"/>
      <c r="T56" s="6">
        <v>0</v>
      </c>
      <c r="U56" s="7"/>
      <c r="V56" s="6">
        <v>0</v>
      </c>
      <c r="W56" s="7"/>
      <c r="X56" s="6">
        <v>0</v>
      </c>
      <c r="Y56" s="7"/>
      <c r="Z56" s="6">
        <v>1784.51</v>
      </c>
      <c r="AA56" s="7"/>
      <c r="AB56" s="6">
        <v>0</v>
      </c>
      <c r="AC56" s="7"/>
      <c r="AD56" s="6">
        <v>0</v>
      </c>
      <c r="AE56" s="7"/>
      <c r="AF56" s="6">
        <v>0</v>
      </c>
      <c r="AG56" s="7"/>
      <c r="AH56" s="6">
        <v>0</v>
      </c>
      <c r="AI56" s="7"/>
      <c r="AJ56" s="6">
        <v>0</v>
      </c>
      <c r="AK56" s="7"/>
      <c r="AL56" s="6">
        <v>1784.5</v>
      </c>
      <c r="AM56" s="7"/>
      <c r="AN56" s="6">
        <v>0</v>
      </c>
      <c r="AO56" s="7"/>
      <c r="AP56" s="6">
        <v>0</v>
      </c>
      <c r="AQ56" s="7"/>
      <c r="AR56" s="6">
        <v>0</v>
      </c>
      <c r="AS56" s="7"/>
      <c r="AT56" s="6">
        <v>0</v>
      </c>
      <c r="AU56" s="7"/>
      <c r="AV56" s="6">
        <v>0</v>
      </c>
      <c r="AW56" s="7"/>
      <c r="AX56" s="6">
        <v>1858.33</v>
      </c>
      <c r="AY56" s="7"/>
      <c r="AZ56" s="6">
        <v>0</v>
      </c>
      <c r="BA56" s="7"/>
      <c r="BB56" s="6">
        <v>0</v>
      </c>
      <c r="BC56" s="7"/>
      <c r="BD56" s="6">
        <v>0</v>
      </c>
      <c r="BE56" s="7"/>
      <c r="BF56" s="6">
        <v>0</v>
      </c>
      <c r="BG56" s="7"/>
      <c r="BH56" s="6">
        <v>0</v>
      </c>
      <c r="BI56" s="7"/>
      <c r="BJ56" s="6">
        <v>1858.33</v>
      </c>
      <c r="BK56" s="7"/>
      <c r="BL56" s="6">
        <v>0</v>
      </c>
      <c r="BM56" s="7"/>
      <c r="BN56" s="6">
        <v>0</v>
      </c>
    </row>
    <row r="57" spans="1:66" outlineLevel="2" x14ac:dyDescent="0.35">
      <c r="A57" s="2"/>
      <c r="B57" s="2"/>
      <c r="C57" s="2"/>
      <c r="D57" s="2"/>
      <c r="E57" s="2"/>
      <c r="F57" s="2" t="s">
        <v>72</v>
      </c>
      <c r="G57" s="2"/>
      <c r="H57" s="6">
        <v>607.49</v>
      </c>
      <c r="I57" s="7"/>
      <c r="J57" s="6">
        <v>734.86</v>
      </c>
      <c r="K57" s="7"/>
      <c r="L57" s="6">
        <v>881.26</v>
      </c>
      <c r="M57" s="7"/>
      <c r="N57" s="6">
        <v>830.17</v>
      </c>
      <c r="O57" s="7"/>
      <c r="P57" s="6">
        <v>913.33</v>
      </c>
      <c r="Q57" s="7"/>
      <c r="R57" s="6">
        <v>671.4</v>
      </c>
      <c r="S57" s="7"/>
      <c r="T57" s="6">
        <v>691.26</v>
      </c>
      <c r="U57" s="7"/>
      <c r="V57" s="6">
        <v>978.69</v>
      </c>
      <c r="W57" s="7"/>
      <c r="X57" s="6">
        <v>690.99</v>
      </c>
      <c r="Y57" s="7"/>
      <c r="Z57" s="6">
        <v>791.27</v>
      </c>
      <c r="AA57" s="7"/>
      <c r="AB57" s="6">
        <v>725.99</v>
      </c>
      <c r="AC57" s="7"/>
      <c r="AD57" s="6">
        <v>650.99</v>
      </c>
      <c r="AE57" s="7"/>
      <c r="AF57" s="6">
        <v>821.61</v>
      </c>
      <c r="AG57" s="7"/>
      <c r="AH57" s="6">
        <v>762.4</v>
      </c>
      <c r="AI57" s="7"/>
      <c r="AJ57" s="6">
        <v>1006.89</v>
      </c>
      <c r="AK57" s="7"/>
      <c r="AL57" s="6">
        <v>1034.32</v>
      </c>
      <c r="AM57" s="7"/>
      <c r="AN57" s="6">
        <v>946.2</v>
      </c>
      <c r="AO57" s="7"/>
      <c r="AP57" s="6">
        <v>722.38</v>
      </c>
      <c r="AQ57" s="7"/>
      <c r="AR57" s="6">
        <v>696.94</v>
      </c>
      <c r="AS57" s="7"/>
      <c r="AT57" s="6">
        <v>805.7</v>
      </c>
      <c r="AU57" s="7"/>
      <c r="AV57" s="6">
        <v>659.22</v>
      </c>
      <c r="AW57" s="7"/>
      <c r="AX57" s="6">
        <v>708.96</v>
      </c>
      <c r="AY57" s="7"/>
      <c r="AZ57" s="6">
        <v>703.15</v>
      </c>
      <c r="BA57" s="7"/>
      <c r="BB57" s="6">
        <v>790.89</v>
      </c>
      <c r="BC57" s="7"/>
      <c r="BD57" s="6">
        <v>825.25</v>
      </c>
      <c r="BE57" s="7"/>
      <c r="BF57" s="6">
        <v>920.5</v>
      </c>
      <c r="BG57" s="7"/>
      <c r="BH57" s="6">
        <v>1097.83</v>
      </c>
      <c r="BI57" s="7"/>
      <c r="BJ57" s="6">
        <v>1078</v>
      </c>
      <c r="BK57" s="7"/>
      <c r="BL57" s="6">
        <v>1055.23</v>
      </c>
      <c r="BM57" s="7"/>
      <c r="BN57" s="6">
        <v>835.08</v>
      </c>
    </row>
    <row r="58" spans="1:66" ht="15" outlineLevel="2" thickBot="1" x14ac:dyDescent="0.4">
      <c r="A58" s="2"/>
      <c r="B58" s="2"/>
      <c r="C58" s="2"/>
      <c r="D58" s="2"/>
      <c r="E58" s="2"/>
      <c r="F58" s="2" t="s">
        <v>74</v>
      </c>
      <c r="G58" s="2"/>
      <c r="H58" s="6">
        <v>0</v>
      </c>
      <c r="I58" s="7"/>
      <c r="J58" s="6">
        <v>5.16</v>
      </c>
      <c r="K58" s="7"/>
      <c r="L58" s="6">
        <v>11.61</v>
      </c>
      <c r="M58" s="7"/>
      <c r="N58" s="6">
        <v>0</v>
      </c>
      <c r="O58" s="7"/>
      <c r="P58" s="6">
        <v>360</v>
      </c>
      <c r="Q58" s="7"/>
      <c r="R58" s="6">
        <v>10.82</v>
      </c>
      <c r="S58" s="7"/>
      <c r="T58" s="6">
        <v>228.55</v>
      </c>
      <c r="U58" s="7"/>
      <c r="V58" s="6">
        <v>6.45</v>
      </c>
      <c r="W58" s="7"/>
      <c r="X58" s="6">
        <v>6.45</v>
      </c>
      <c r="Y58" s="7"/>
      <c r="Z58" s="6">
        <v>16.45</v>
      </c>
      <c r="AA58" s="7"/>
      <c r="AB58" s="6">
        <v>701.2</v>
      </c>
      <c r="AC58" s="7"/>
      <c r="AD58" s="6">
        <v>14.19</v>
      </c>
      <c r="AE58" s="7"/>
      <c r="AF58" s="6">
        <v>0</v>
      </c>
      <c r="AG58" s="7"/>
      <c r="AH58" s="6">
        <v>9.0299999999999994</v>
      </c>
      <c r="AI58" s="7"/>
      <c r="AJ58" s="6">
        <v>11.61</v>
      </c>
      <c r="AK58" s="7"/>
      <c r="AL58" s="6">
        <v>6.45</v>
      </c>
      <c r="AM58" s="7"/>
      <c r="AN58" s="6">
        <v>377.74</v>
      </c>
      <c r="AO58" s="7"/>
      <c r="AP58" s="6">
        <v>5.16</v>
      </c>
      <c r="AQ58" s="7"/>
      <c r="AR58" s="6">
        <v>229.07</v>
      </c>
      <c r="AS58" s="7"/>
      <c r="AT58" s="6">
        <v>141.29</v>
      </c>
      <c r="AU58" s="7"/>
      <c r="AV58" s="6">
        <v>2.58</v>
      </c>
      <c r="AW58" s="7"/>
      <c r="AX58" s="6">
        <v>15.16</v>
      </c>
      <c r="AY58" s="7"/>
      <c r="AZ58" s="6">
        <v>707.65</v>
      </c>
      <c r="BA58" s="7"/>
      <c r="BB58" s="6">
        <v>15.48</v>
      </c>
      <c r="BC58" s="7"/>
      <c r="BD58" s="6">
        <v>1.29</v>
      </c>
      <c r="BE58" s="7"/>
      <c r="BF58" s="6">
        <v>0</v>
      </c>
      <c r="BG58" s="7"/>
      <c r="BH58" s="6">
        <v>11.61</v>
      </c>
      <c r="BI58" s="7"/>
      <c r="BJ58" s="6">
        <v>5.16</v>
      </c>
      <c r="BK58" s="7"/>
      <c r="BL58" s="6">
        <v>385.16</v>
      </c>
      <c r="BM58" s="7"/>
      <c r="BN58" s="6">
        <v>0</v>
      </c>
    </row>
    <row r="59" spans="1:66" ht="15" outlineLevel="1" thickBot="1" x14ac:dyDescent="0.4">
      <c r="A59" s="2"/>
      <c r="B59" s="2"/>
      <c r="C59" s="2"/>
      <c r="D59" s="2"/>
      <c r="E59" s="2" t="s">
        <v>75</v>
      </c>
      <c r="F59" s="2"/>
      <c r="G59" s="2"/>
      <c r="H59" s="20">
        <f>ROUND(SUM(H55:H58),5)</f>
        <v>607.49</v>
      </c>
      <c r="I59" s="7"/>
      <c r="J59" s="20">
        <f>ROUND(SUM(J55:J58),5)</f>
        <v>740.02</v>
      </c>
      <c r="K59" s="7"/>
      <c r="L59" s="20">
        <f>ROUND(SUM(L55:L58),5)</f>
        <v>892.87</v>
      </c>
      <c r="M59" s="7"/>
      <c r="N59" s="20">
        <f>ROUND(SUM(N55:N58),5)</f>
        <v>2520.9499999999998</v>
      </c>
      <c r="O59" s="7"/>
      <c r="P59" s="20">
        <f>ROUND(SUM(P55:P58),5)</f>
        <v>1273.33</v>
      </c>
      <c r="Q59" s="7"/>
      <c r="R59" s="20">
        <f>ROUND(SUM(R55:R58),5)</f>
        <v>682.22</v>
      </c>
      <c r="S59" s="7"/>
      <c r="T59" s="20">
        <f>ROUND(SUM(T55:T58),5)</f>
        <v>919.81</v>
      </c>
      <c r="U59" s="7"/>
      <c r="V59" s="20">
        <f>ROUND(SUM(V55:V58),5)</f>
        <v>985.14</v>
      </c>
      <c r="W59" s="7"/>
      <c r="X59" s="20">
        <f>ROUND(SUM(X55:X58),5)</f>
        <v>697.44</v>
      </c>
      <c r="Y59" s="7"/>
      <c r="Z59" s="20">
        <f>ROUND(SUM(Z55:Z58),5)</f>
        <v>2592.23</v>
      </c>
      <c r="AA59" s="7"/>
      <c r="AB59" s="20">
        <f>ROUND(SUM(AB55:AB58),5)</f>
        <v>1427.19</v>
      </c>
      <c r="AC59" s="7"/>
      <c r="AD59" s="20">
        <f>ROUND(SUM(AD55:AD58),5)</f>
        <v>665.18</v>
      </c>
      <c r="AE59" s="7"/>
      <c r="AF59" s="20">
        <f>ROUND(SUM(AF55:AF58),5)</f>
        <v>821.61</v>
      </c>
      <c r="AG59" s="7"/>
      <c r="AH59" s="20">
        <f>ROUND(SUM(AH55:AH58),5)</f>
        <v>771.43</v>
      </c>
      <c r="AI59" s="7"/>
      <c r="AJ59" s="20">
        <f>ROUND(SUM(AJ55:AJ58),5)</f>
        <v>1018.5</v>
      </c>
      <c r="AK59" s="7"/>
      <c r="AL59" s="20">
        <f>ROUND(SUM(AL55:AL58),5)</f>
        <v>2825.27</v>
      </c>
      <c r="AM59" s="7"/>
      <c r="AN59" s="20">
        <f>ROUND(SUM(AN55:AN58),5)</f>
        <v>1323.94</v>
      </c>
      <c r="AO59" s="7"/>
      <c r="AP59" s="20">
        <f>ROUND(SUM(AP55:AP58),5)</f>
        <v>727.54</v>
      </c>
      <c r="AQ59" s="7"/>
      <c r="AR59" s="20">
        <f>ROUND(SUM(AR55:AR58),5)</f>
        <v>926.01</v>
      </c>
      <c r="AS59" s="7"/>
      <c r="AT59" s="20">
        <f>ROUND(SUM(AT55:AT58),5)</f>
        <v>946.99</v>
      </c>
      <c r="AU59" s="7"/>
      <c r="AV59" s="20">
        <f>ROUND(SUM(AV55:AV58),5)</f>
        <v>661.8</v>
      </c>
      <c r="AW59" s="7"/>
      <c r="AX59" s="20">
        <f>ROUND(SUM(AX55:AX58),5)</f>
        <v>2582.4499999999998</v>
      </c>
      <c r="AY59" s="7"/>
      <c r="AZ59" s="20">
        <f>ROUND(SUM(AZ55:AZ58),5)</f>
        <v>1410.8</v>
      </c>
      <c r="BA59" s="7"/>
      <c r="BB59" s="20">
        <f>ROUND(SUM(BB55:BB58),5)</f>
        <v>806.37</v>
      </c>
      <c r="BC59" s="7"/>
      <c r="BD59" s="20">
        <f>ROUND(SUM(BD55:BD58),5)</f>
        <v>826.54</v>
      </c>
      <c r="BE59" s="7"/>
      <c r="BF59" s="20">
        <f>ROUND(SUM(BF55:BF58),5)</f>
        <v>920.5</v>
      </c>
      <c r="BG59" s="7"/>
      <c r="BH59" s="20">
        <f>ROUND(SUM(BH55:BH58),5)</f>
        <v>1109.44</v>
      </c>
      <c r="BI59" s="7"/>
      <c r="BJ59" s="20">
        <f>ROUND(SUM(BJ55:BJ58),5)</f>
        <v>2941.49</v>
      </c>
      <c r="BK59" s="7"/>
      <c r="BL59" s="20">
        <f>ROUND(SUM(BL55:BL58),5)</f>
        <v>1440.39</v>
      </c>
      <c r="BM59" s="7"/>
      <c r="BN59" s="20">
        <f>ROUND(SUM(BN55:BN58),5)</f>
        <v>835.08</v>
      </c>
    </row>
    <row r="60" spans="1:66" ht="15" thickBot="1" x14ac:dyDescent="0.4">
      <c r="A60" s="2"/>
      <c r="B60" s="2"/>
      <c r="C60" s="2"/>
      <c r="D60" s="2" t="s">
        <v>85</v>
      </c>
      <c r="E60" s="2"/>
      <c r="F60" s="2"/>
      <c r="G60" s="2"/>
      <c r="H60" s="11">
        <f>ROUND(SUM(H20:H21)+H39+H54+H59,5)</f>
        <v>13479.67</v>
      </c>
      <c r="I60" s="7"/>
      <c r="J60" s="11">
        <f>ROUND(SUM(J20:J21)+J39+J54+J59,5)</f>
        <v>17477.830000000002</v>
      </c>
      <c r="K60" s="7"/>
      <c r="L60" s="11">
        <f>ROUND(SUM(L20:L21)+L39+L54+L59,5)</f>
        <v>15708.71</v>
      </c>
      <c r="M60" s="7"/>
      <c r="N60" s="11">
        <f>ROUND(SUM(N20:N21)+N39+N54+N59,5)</f>
        <v>22895.69</v>
      </c>
      <c r="O60" s="7"/>
      <c r="P60" s="11">
        <f>ROUND(SUM(P20:P21)+P39+P54+P59,5)</f>
        <v>12521.65</v>
      </c>
      <c r="Q60" s="7"/>
      <c r="R60" s="11">
        <f>ROUND(SUM(R20:R21)+R39+R54+R59,5)</f>
        <v>12795.18</v>
      </c>
      <c r="S60" s="7"/>
      <c r="T60" s="11">
        <f>ROUND(SUM(T20:T21)+T39+T54+T59,5)</f>
        <v>17754.82</v>
      </c>
      <c r="U60" s="7"/>
      <c r="V60" s="11">
        <f>ROUND(SUM(V20:V21)+V39+V54+V59,5)</f>
        <v>14140.42</v>
      </c>
      <c r="W60" s="7"/>
      <c r="X60" s="11">
        <f>ROUND(SUM(X20:X21)+X39+X54+X59,5)</f>
        <v>13609.37</v>
      </c>
      <c r="Y60" s="7"/>
      <c r="Z60" s="11">
        <f>ROUND(SUM(Z20:Z21)+Z39+Z54+Z59,5)</f>
        <v>15978.16</v>
      </c>
      <c r="AA60" s="7"/>
      <c r="AB60" s="11">
        <f>ROUND(SUM(AB20:AB21)+AB39+AB54+AB59,5)</f>
        <v>17875.21</v>
      </c>
      <c r="AC60" s="7"/>
      <c r="AD60" s="11">
        <f>ROUND(SUM(AD20:AD21)+AD39+AD54+AD59,5)</f>
        <v>13032.75</v>
      </c>
      <c r="AE60" s="7"/>
      <c r="AF60" s="11">
        <f>ROUND(SUM(AF20:AF21)+AF39+AF54+AF59,5)</f>
        <v>18406.77</v>
      </c>
      <c r="AG60" s="7"/>
      <c r="AH60" s="11">
        <f>ROUND(SUM(AH20:AH21)+AH39+AH54+AH59,5)</f>
        <v>14536.18</v>
      </c>
      <c r="AI60" s="7"/>
      <c r="AJ60" s="11">
        <f>ROUND(SUM(AJ20:AJ21)+AJ39+AJ54+AJ59,5)</f>
        <v>28024.86</v>
      </c>
      <c r="AK60" s="7"/>
      <c r="AL60" s="11">
        <f>ROUND(SUM(AL20:AL21)+AL39+AL54+AL59,5)</f>
        <v>15859.1</v>
      </c>
      <c r="AM60" s="7"/>
      <c r="AN60" s="11">
        <f>ROUND(SUM(AN20:AN21)+AN39+AN54+AN59,5)</f>
        <v>12064.75</v>
      </c>
      <c r="AO60" s="7"/>
      <c r="AP60" s="11">
        <f>ROUND(SUM(AP20:AP21)+AP39+AP54+AP59,5)</f>
        <v>14037.8</v>
      </c>
      <c r="AQ60" s="7"/>
      <c r="AR60" s="11">
        <f>ROUND(SUM(AR20:AR21)+AR39+AR54+AR59,5)</f>
        <v>12413.48</v>
      </c>
      <c r="AS60" s="7"/>
      <c r="AT60" s="11">
        <f>ROUND(SUM(AT20:AT21)+AT39+AT54+AT59,5)</f>
        <v>15482.62</v>
      </c>
      <c r="AU60" s="7"/>
      <c r="AV60" s="11">
        <f>ROUND(SUM(AV20:AV21)+AV39+AV54+AV59,5)</f>
        <v>12251.69</v>
      </c>
      <c r="AW60" s="7"/>
      <c r="AX60" s="11">
        <f>ROUND(SUM(AX20:AX21)+AX39+AX54+AX59,5)</f>
        <v>15068.87</v>
      </c>
      <c r="AY60" s="7"/>
      <c r="AZ60" s="11">
        <f>ROUND(SUM(AZ20:AZ21)+AZ39+AZ54+AZ59,5)</f>
        <v>13899.6</v>
      </c>
      <c r="BA60" s="7"/>
      <c r="BB60" s="11">
        <f>ROUND(SUM(BB20:BB21)+BB39+BB54+BB59,5)</f>
        <v>14027.55</v>
      </c>
      <c r="BC60" s="7"/>
      <c r="BD60" s="11">
        <f>ROUND(SUM(BD20:BD21)+BD39+BD54+BD59,5)</f>
        <v>18855.93</v>
      </c>
      <c r="BE60" s="7"/>
      <c r="BF60" s="11">
        <f>ROUND(SUM(BF20:BF21)+BF39+BF54+BF59,5)</f>
        <v>21036.47</v>
      </c>
      <c r="BG60" s="7"/>
      <c r="BH60" s="11">
        <f>ROUND(SUM(BH20:BH21)+BH39+BH54+BH59,5)</f>
        <v>16795.25</v>
      </c>
      <c r="BI60" s="7"/>
      <c r="BJ60" s="11">
        <f>ROUND(SUM(BJ20:BJ21)+BJ39+BJ54+BJ59,5)</f>
        <v>30831.5</v>
      </c>
      <c r="BK60" s="7"/>
      <c r="BL60" s="11">
        <f>ROUND(SUM(BL20:BL21)+BL39+BL54+BL59,5)</f>
        <v>21775.37</v>
      </c>
      <c r="BM60" s="7"/>
      <c r="BN60" s="11">
        <f>ROUND(SUM(BN20:BN21)+BN39+BN54+BN59,5)</f>
        <v>15999.12</v>
      </c>
    </row>
    <row r="61" spans="1:66" outlineLevel="1" x14ac:dyDescent="0.35">
      <c r="A61" s="2"/>
      <c r="B61" s="2" t="s">
        <v>86</v>
      </c>
      <c r="C61" s="2"/>
      <c r="D61" s="2"/>
      <c r="E61" s="2"/>
      <c r="F61" s="2"/>
      <c r="G61" s="2"/>
      <c r="H61" s="6">
        <f>ROUND(H2+H19-H60,5)</f>
        <v>7294.13</v>
      </c>
      <c r="I61" s="7"/>
      <c r="J61" s="6">
        <f>ROUND(J2+J19-J60,5)</f>
        <v>2441.67</v>
      </c>
      <c r="K61" s="7"/>
      <c r="L61" s="6">
        <f>ROUND(L2+L19-L60,5)</f>
        <v>4754.1899999999996</v>
      </c>
      <c r="M61" s="7"/>
      <c r="N61" s="6">
        <f>ROUND(N2+N19-N60,5)</f>
        <v>-1135.53</v>
      </c>
      <c r="O61" s="7"/>
      <c r="P61" s="6">
        <f>ROUND(P2+P19-P60,5)</f>
        <v>3327</v>
      </c>
      <c r="Q61" s="7"/>
      <c r="R61" s="6">
        <f>ROUND(R2+R19-R60,5)</f>
        <v>4164.84</v>
      </c>
      <c r="S61" s="7"/>
      <c r="T61" s="6">
        <f>ROUND(T2+T19-T60,5)</f>
        <v>339.29</v>
      </c>
      <c r="U61" s="7"/>
      <c r="V61" s="6">
        <f>ROUND(V2+V19-V60,5)</f>
        <v>2949.87</v>
      </c>
      <c r="W61" s="7"/>
      <c r="X61" s="6">
        <f>ROUND(X2+X19-X60,5)</f>
        <v>3029.1</v>
      </c>
      <c r="Y61" s="7"/>
      <c r="Z61" s="6">
        <f>ROUND(Z2+Z19-Z60,5)</f>
        <v>1086.19</v>
      </c>
      <c r="AA61" s="7"/>
      <c r="AB61" s="6">
        <f>ROUND(AB2+AB19-AB60,5)</f>
        <v>-301.39</v>
      </c>
      <c r="AC61" s="7"/>
      <c r="AD61" s="6">
        <f>ROUND(AD2+AD19-AD60,5)</f>
        <v>6614.28</v>
      </c>
      <c r="AE61" s="7"/>
      <c r="AF61" s="6">
        <f>ROUND(AF2+AF19-AF60,5)</f>
        <v>674.98</v>
      </c>
      <c r="AG61" s="7"/>
      <c r="AH61" s="6">
        <f>ROUND(AH2+AH19-AH60,5)</f>
        <v>7185.55</v>
      </c>
      <c r="AI61" s="7"/>
      <c r="AJ61" s="6">
        <f>ROUND(AJ2+AJ19-AJ60,5)</f>
        <v>-4894.58</v>
      </c>
      <c r="AK61" s="7"/>
      <c r="AL61" s="6">
        <f>ROUND(AL2+AL19-AL60,5)</f>
        <v>5426.07</v>
      </c>
      <c r="AM61" s="7"/>
      <c r="AN61" s="6">
        <f>ROUND(AN2+AN19-AN60,5)</f>
        <v>4648.7700000000004</v>
      </c>
      <c r="AO61" s="7"/>
      <c r="AP61" s="6">
        <f>ROUND(AP2+AP19-AP60,5)</f>
        <v>3106.63</v>
      </c>
      <c r="AQ61" s="7"/>
      <c r="AR61" s="6">
        <f>ROUND(AR2+AR19-AR60,5)</f>
        <v>4320.67</v>
      </c>
      <c r="AS61" s="7"/>
      <c r="AT61" s="6">
        <f>ROUND(AT2+AT19-AT60,5)</f>
        <v>1175.94</v>
      </c>
      <c r="AU61" s="7"/>
      <c r="AV61" s="6">
        <f>ROUND(AV2+AV19-AV60,5)</f>
        <v>4966.87</v>
      </c>
      <c r="AW61" s="7"/>
      <c r="AX61" s="6">
        <f>ROUND(AX2+AX19-AX60,5)</f>
        <v>1827.17</v>
      </c>
      <c r="AY61" s="7"/>
      <c r="AZ61" s="6">
        <f>ROUND(AZ2+AZ19-AZ60,5)</f>
        <v>2963.96</v>
      </c>
      <c r="BA61" s="7"/>
      <c r="BB61" s="6">
        <f>ROUND(BB2+BB19-BB60,5)</f>
        <v>6071.52</v>
      </c>
      <c r="BC61" s="7"/>
      <c r="BD61" s="6">
        <f>ROUND(BD2+BD19-BD60,5)</f>
        <v>3758.04</v>
      </c>
      <c r="BE61" s="7"/>
      <c r="BF61" s="6">
        <f>ROUND(BF2+BF19-BF60,5)</f>
        <v>2968</v>
      </c>
      <c r="BG61" s="7"/>
      <c r="BH61" s="6">
        <f>ROUND(BH2+BH19-BH60,5)</f>
        <v>9950.4500000000007</v>
      </c>
      <c r="BI61" s="7"/>
      <c r="BJ61" s="6">
        <f>ROUND(BJ2+BJ19-BJ60,5)</f>
        <v>-6566.56</v>
      </c>
      <c r="BK61" s="7"/>
      <c r="BL61" s="6">
        <f>ROUND(BL2+BL19-BL60,5)</f>
        <v>-3070.12</v>
      </c>
      <c r="BM61" s="7"/>
      <c r="BN61" s="6">
        <f>ROUND(BN2+BN19-BN60,5)</f>
        <v>3457.47</v>
      </c>
    </row>
    <row r="62" spans="1:66" ht="15" outlineLevel="1" thickBot="1" x14ac:dyDescent="0.4">
      <c r="A62" s="2"/>
      <c r="B62" s="2" t="s">
        <v>87</v>
      </c>
      <c r="C62" s="2"/>
      <c r="D62" s="2"/>
      <c r="E62" s="2"/>
      <c r="F62" s="2"/>
      <c r="G62" s="2"/>
      <c r="H62" s="6">
        <v>-4167</v>
      </c>
      <c r="I62" s="7"/>
      <c r="J62" s="6">
        <v>-4167</v>
      </c>
      <c r="K62" s="7"/>
      <c r="L62" s="6">
        <v>-4167</v>
      </c>
      <c r="M62" s="7"/>
      <c r="N62" s="6">
        <v>-4167</v>
      </c>
      <c r="O62" s="7"/>
      <c r="P62" s="6">
        <v>-4167</v>
      </c>
      <c r="Q62" s="7"/>
      <c r="R62" s="6">
        <v>-4167</v>
      </c>
      <c r="S62" s="7"/>
      <c r="T62" s="6">
        <v>-4167</v>
      </c>
      <c r="U62" s="7"/>
      <c r="V62" s="6">
        <v>-4167</v>
      </c>
      <c r="W62" s="7"/>
      <c r="X62" s="6">
        <v>-4167</v>
      </c>
      <c r="Y62" s="7"/>
      <c r="Z62" s="6">
        <v>-4167</v>
      </c>
      <c r="AA62" s="7"/>
      <c r="AB62" s="6">
        <v>-4167</v>
      </c>
      <c r="AC62" s="7"/>
      <c r="AD62" s="6">
        <v>-4167</v>
      </c>
      <c r="AE62" s="7"/>
      <c r="AF62" s="6">
        <v>-2500</v>
      </c>
      <c r="AG62" s="7"/>
      <c r="AH62" s="6">
        <v>-2500</v>
      </c>
      <c r="AI62" s="7"/>
      <c r="AJ62" s="6">
        <v>-2500</v>
      </c>
      <c r="AK62" s="7"/>
      <c r="AL62" s="6">
        <v>-2500</v>
      </c>
      <c r="AM62" s="7"/>
      <c r="AN62" s="6">
        <v>-2500</v>
      </c>
      <c r="AO62" s="7"/>
      <c r="AP62" s="6">
        <v>-2500</v>
      </c>
      <c r="AQ62" s="7"/>
      <c r="AR62" s="6">
        <v>-2500</v>
      </c>
      <c r="AS62" s="7"/>
      <c r="AT62" s="6">
        <v>-2500</v>
      </c>
      <c r="AU62" s="7"/>
      <c r="AV62" s="6">
        <v>-2500</v>
      </c>
      <c r="AW62" s="7"/>
      <c r="AX62" s="6">
        <v>-2500</v>
      </c>
      <c r="AY62" s="7"/>
      <c r="AZ62" s="6">
        <v>-2500</v>
      </c>
      <c r="BA62" s="7"/>
      <c r="BB62" s="6">
        <v>-2500</v>
      </c>
      <c r="BC62" s="7"/>
      <c r="BD62" s="6">
        <v>-2500</v>
      </c>
      <c r="BE62" s="7"/>
      <c r="BF62" s="6">
        <v>-2500</v>
      </c>
      <c r="BG62" s="7"/>
      <c r="BH62" s="6">
        <v>-2500</v>
      </c>
      <c r="BI62" s="7"/>
      <c r="BJ62" s="6">
        <v>-2500</v>
      </c>
      <c r="BK62" s="7"/>
      <c r="BL62" s="6">
        <v>-2500</v>
      </c>
      <c r="BM62" s="7"/>
      <c r="BN62" s="6">
        <v>-2500</v>
      </c>
    </row>
    <row r="63" spans="1:66" s="15" customFormat="1" ht="11" thickBot="1" x14ac:dyDescent="0.3">
      <c r="A63" s="2" t="s">
        <v>88</v>
      </c>
      <c r="B63" s="2"/>
      <c r="C63" s="2"/>
      <c r="D63" s="2"/>
      <c r="E63" s="2"/>
      <c r="F63" s="2"/>
      <c r="G63" s="2"/>
      <c r="H63" s="13">
        <f>ROUND(SUM(H61:H62),5)</f>
        <v>3127.13</v>
      </c>
      <c r="I63" s="2"/>
      <c r="J63" s="13">
        <f>ROUND(SUM(J61:J62),5)</f>
        <v>-1725.33</v>
      </c>
      <c r="K63" s="2"/>
      <c r="L63" s="13">
        <f>ROUND(SUM(L61:L62),5)</f>
        <v>587.19000000000005</v>
      </c>
      <c r="M63" s="2"/>
      <c r="N63" s="13">
        <f>ROUND(SUM(N61:N62),5)</f>
        <v>-5302.53</v>
      </c>
      <c r="O63" s="2"/>
      <c r="P63" s="13">
        <f>ROUND(SUM(P61:P62),5)</f>
        <v>-840</v>
      </c>
      <c r="Q63" s="2"/>
      <c r="R63" s="13">
        <f>ROUND(SUM(R61:R62),5)</f>
        <v>-2.16</v>
      </c>
      <c r="S63" s="2"/>
      <c r="T63" s="13">
        <f>ROUND(SUM(T61:T62),5)</f>
        <v>-3827.71</v>
      </c>
      <c r="U63" s="2"/>
      <c r="V63" s="13">
        <f>ROUND(SUM(V61:V62),5)</f>
        <v>-1217.1300000000001</v>
      </c>
      <c r="W63" s="2"/>
      <c r="X63" s="13">
        <f>ROUND(SUM(X61:X62),5)</f>
        <v>-1137.9000000000001</v>
      </c>
      <c r="Y63" s="2"/>
      <c r="Z63" s="13">
        <f>ROUND(SUM(Z61:Z62),5)</f>
        <v>-3080.81</v>
      </c>
      <c r="AA63" s="2"/>
      <c r="AB63" s="13">
        <f>ROUND(SUM(AB61:AB62),5)</f>
        <v>-4468.3900000000003</v>
      </c>
      <c r="AC63" s="2"/>
      <c r="AD63" s="13">
        <f>ROUND(SUM(AD61:AD62),5)</f>
        <v>2447.2800000000002</v>
      </c>
      <c r="AE63" s="2"/>
      <c r="AF63" s="13">
        <f>ROUND(SUM(AF61:AF62),5)</f>
        <v>-1825.02</v>
      </c>
      <c r="AG63" s="2"/>
      <c r="AH63" s="13">
        <f>ROUND(SUM(AH61:AH62),5)</f>
        <v>4685.55</v>
      </c>
      <c r="AI63" s="2"/>
      <c r="AJ63" s="13">
        <f>ROUND(SUM(AJ61:AJ62),5)</f>
        <v>-7394.58</v>
      </c>
      <c r="AK63" s="2"/>
      <c r="AL63" s="13">
        <f>ROUND(SUM(AL61:AL62),5)</f>
        <v>2926.07</v>
      </c>
      <c r="AM63" s="2"/>
      <c r="AN63" s="13">
        <f>ROUND(SUM(AN61:AN62),5)</f>
        <v>2148.77</v>
      </c>
      <c r="AO63" s="2"/>
      <c r="AP63" s="13">
        <f>ROUND(SUM(AP61:AP62),5)</f>
        <v>606.63</v>
      </c>
      <c r="AQ63" s="2"/>
      <c r="AR63" s="13">
        <f>ROUND(SUM(AR61:AR62),5)</f>
        <v>1820.67</v>
      </c>
      <c r="AS63" s="2"/>
      <c r="AT63" s="13">
        <f>ROUND(SUM(AT61:AT62),5)</f>
        <v>-1324.06</v>
      </c>
      <c r="AU63" s="2"/>
      <c r="AV63" s="13">
        <f>ROUND(SUM(AV61:AV62),5)</f>
        <v>2466.87</v>
      </c>
      <c r="AW63" s="2"/>
      <c r="AX63" s="13">
        <f>ROUND(SUM(AX61:AX62),5)</f>
        <v>-672.83</v>
      </c>
      <c r="AY63" s="2"/>
      <c r="AZ63" s="13">
        <f>ROUND(SUM(AZ61:AZ62),5)</f>
        <v>463.96</v>
      </c>
      <c r="BA63" s="2"/>
      <c r="BB63" s="13">
        <f>ROUND(SUM(BB61:BB62),5)</f>
        <v>3571.52</v>
      </c>
      <c r="BC63" s="2"/>
      <c r="BD63" s="13">
        <f>ROUND(SUM(BD61:BD62),5)</f>
        <v>1258.04</v>
      </c>
      <c r="BE63" s="2"/>
      <c r="BF63" s="13">
        <f>ROUND(SUM(BF61:BF62),5)</f>
        <v>468</v>
      </c>
      <c r="BG63" s="2"/>
      <c r="BH63" s="13">
        <f>ROUND(SUM(BH61:BH62),5)</f>
        <v>7450.45</v>
      </c>
      <c r="BI63" s="2"/>
      <c r="BJ63" s="13">
        <f>ROUND(SUM(BJ61:BJ62),5)</f>
        <v>-9066.56</v>
      </c>
      <c r="BK63" s="2"/>
      <c r="BL63" s="13">
        <f>ROUND(SUM(BL61:BL62),5)</f>
        <v>-5570.12</v>
      </c>
      <c r="BM63" s="2"/>
      <c r="BN63" s="13">
        <f>ROUND(SUM(BN61:BN62),5)</f>
        <v>957.47</v>
      </c>
    </row>
    <row r="64" spans="1:66" ht="15" thickTop="1" x14ac:dyDescent="0.35"/>
  </sheetData>
  <pageMargins left="0.7" right="0.7" top="0.75" bottom="0.75" header="0.1" footer="0.3"/>
  <pageSetup orientation="portrait" r:id="rId1"/>
  <headerFooter>
    <oddHeader>&amp;L&amp;"Arial,Bold"&amp;8 9:11 PM
&amp;"Arial,Bold"&amp;8 01/25/22
&amp;"Arial,Bold"&amp;8 Accrual Basis&amp;C&amp;"Arial,Bold"&amp;12 Dockton Water Association
&amp;"Arial,Bold"&amp;14 Profit &amp;&amp; Loss
&amp;"Arial,Bold"&amp;10 July 2019 through December 2021</oddHeader>
    <oddFooter>&amp;R&amp;"Arial,Bold"&amp;8 Page &amp;P of &amp;N</oddFooter>
  </headerFooter>
  <drawing r:id="rId2"/>
  <legacyDrawing r:id="rId3"/>
  <controls>
    <mc:AlternateContent xmlns:mc="http://schemas.openxmlformats.org/markup-compatibility/2006">
      <mc:Choice Requires="x14">
        <control shapeId="16386" r:id="rId4" name="HEADER">
          <controlPr defaultSize="0" autoLine="0" r:id="rId5">
            <anchor moveWithCells="1">
              <from>
                <xdr:col>0</xdr:col>
                <xdr:colOff>0</xdr:colOff>
                <xdr:row>0</xdr:row>
                <xdr:rowOff>0</xdr:rowOff>
              </from>
              <to>
                <xdr:col>4</xdr:col>
                <xdr:colOff>76200</xdr:colOff>
                <xdr:row>1</xdr:row>
                <xdr:rowOff>38100</xdr:rowOff>
              </to>
            </anchor>
          </controlPr>
        </control>
      </mc:Choice>
      <mc:Fallback>
        <control shapeId="16386" r:id="rId4" name="HEADER"/>
      </mc:Fallback>
    </mc:AlternateContent>
    <mc:AlternateContent xmlns:mc="http://schemas.openxmlformats.org/markup-compatibility/2006">
      <mc:Choice Requires="x14">
        <control shapeId="16385" r:id="rId6" name="FILTER">
          <controlPr defaultSize="0" autoLine="0" r:id="rId7">
            <anchor moveWithCells="1">
              <from>
                <xdr:col>0</xdr:col>
                <xdr:colOff>0</xdr:colOff>
                <xdr:row>0</xdr:row>
                <xdr:rowOff>0</xdr:rowOff>
              </from>
              <to>
                <xdr:col>4</xdr:col>
                <xdr:colOff>76200</xdr:colOff>
                <xdr:row>1</xdr:row>
                <xdr:rowOff>38100</xdr:rowOff>
              </to>
            </anchor>
          </controlPr>
        </control>
      </mc:Choice>
      <mc:Fallback>
        <control shapeId="16385" r:id="rId6" name="FILTER"/>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BF63"/>
  <sheetViews>
    <sheetView workbookViewId="0"/>
  </sheetViews>
  <sheetFormatPr defaultRowHeight="14.5" outlineLevelRow="3" x14ac:dyDescent="0.35"/>
  <cols>
    <col min="1" max="6" width="3" style="15" customWidth="1"/>
    <col min="7" max="7" width="27.90625" style="15" customWidth="1"/>
    <col min="8" max="8" width="7.90625" bestFit="1" customWidth="1"/>
    <col min="9" max="9" width="2.36328125" customWidth="1"/>
    <col min="10" max="10" width="7.90625" bestFit="1" customWidth="1"/>
    <col min="11" max="11" width="2.36328125" customWidth="1"/>
    <col min="12" max="12" width="7.90625" bestFit="1" customWidth="1"/>
    <col min="13" max="13" width="2.36328125" customWidth="1"/>
    <col min="14" max="14" width="7.90625" bestFit="1" customWidth="1"/>
    <col min="15" max="15" width="2.36328125" customWidth="1"/>
    <col min="16" max="16" width="7.90625" bestFit="1" customWidth="1"/>
    <col min="17" max="17" width="2.36328125" customWidth="1"/>
    <col min="18" max="18" width="7.90625" bestFit="1" customWidth="1"/>
    <col min="19" max="19" width="2.36328125" customWidth="1"/>
    <col min="20" max="20" width="7.90625" bestFit="1" customWidth="1"/>
    <col min="21" max="21" width="2.36328125" customWidth="1"/>
    <col min="22" max="22" width="7.90625" bestFit="1" customWidth="1"/>
    <col min="23" max="23" width="2.36328125" customWidth="1"/>
    <col min="24" max="24" width="7.90625" bestFit="1" customWidth="1"/>
    <col min="25" max="25" width="2.36328125" customWidth="1"/>
    <col min="26" max="26" width="7.90625" bestFit="1" customWidth="1"/>
    <col min="27" max="27" width="2.36328125" customWidth="1"/>
    <col min="28" max="28" width="7.90625" bestFit="1" customWidth="1"/>
    <col min="29" max="29" width="2.36328125" customWidth="1"/>
    <col min="30" max="30" width="7.90625" bestFit="1" customWidth="1"/>
    <col min="31" max="31" width="2.36328125" customWidth="1"/>
    <col min="32" max="32" width="7.90625" bestFit="1" customWidth="1"/>
    <col min="33" max="33" width="2.36328125" customWidth="1"/>
    <col min="34" max="34" width="7.90625" bestFit="1" customWidth="1"/>
    <col min="35" max="35" width="2.36328125" customWidth="1"/>
    <col min="36" max="36" width="6" bestFit="1" customWidth="1"/>
    <col min="37" max="37" width="2.36328125" customWidth="1"/>
    <col min="38" max="38" width="7.90625" bestFit="1" customWidth="1"/>
    <col min="39" max="39" width="2.36328125" customWidth="1"/>
    <col min="40" max="40" width="6.08984375" bestFit="1" customWidth="1"/>
    <col min="41" max="41" width="2.36328125" customWidth="1"/>
    <col min="42" max="42" width="7.90625" bestFit="1" customWidth="1"/>
    <col min="43" max="43" width="2.36328125" customWidth="1"/>
    <col min="44" max="44" width="6" bestFit="1" customWidth="1"/>
    <col min="45" max="45" width="2.36328125" customWidth="1"/>
    <col min="46" max="46" width="7.90625" bestFit="1" customWidth="1"/>
    <col min="47" max="47" width="2.36328125" customWidth="1"/>
    <col min="48" max="48" width="6.36328125" bestFit="1" customWidth="1"/>
    <col min="49" max="49" width="2.36328125" customWidth="1"/>
    <col min="50" max="50" width="7.90625" bestFit="1" customWidth="1"/>
    <col min="51" max="51" width="2.36328125" customWidth="1"/>
    <col min="52" max="52" width="6" bestFit="1" customWidth="1"/>
    <col min="53" max="53" width="2.36328125" customWidth="1"/>
    <col min="54" max="54" width="7.90625" bestFit="1" customWidth="1"/>
    <col min="55" max="55" width="2.36328125" customWidth="1"/>
    <col min="56" max="56" width="12.36328125" bestFit="1" customWidth="1"/>
    <col min="57" max="57" width="2.36328125" customWidth="1"/>
    <col min="58" max="58" width="12.36328125" bestFit="1" customWidth="1"/>
  </cols>
  <sheetData>
    <row r="1" spans="1:58" ht="15" thickBot="1" x14ac:dyDescent="0.4">
      <c r="A1" s="2" t="s">
        <v>126</v>
      </c>
      <c r="B1" s="2"/>
      <c r="C1" s="2"/>
      <c r="D1" s="2"/>
      <c r="E1" s="2"/>
      <c r="F1" s="2"/>
      <c r="G1" s="2"/>
      <c r="H1" s="5"/>
      <c r="I1" s="3"/>
      <c r="J1" s="5"/>
      <c r="K1" s="1"/>
      <c r="L1" s="5"/>
      <c r="M1" s="3"/>
      <c r="N1" s="5"/>
      <c r="O1" s="1"/>
      <c r="P1" s="5"/>
      <c r="Q1" s="3"/>
      <c r="R1" s="5"/>
      <c r="S1" s="1"/>
      <c r="T1" s="5"/>
      <c r="U1" s="3"/>
      <c r="V1" s="5"/>
      <c r="W1" s="1"/>
      <c r="X1" s="5"/>
      <c r="Y1" s="3"/>
      <c r="Z1" s="5"/>
      <c r="AA1" s="1"/>
      <c r="AB1" s="5"/>
      <c r="AC1" s="3"/>
      <c r="AD1" s="5"/>
      <c r="AE1" s="1"/>
      <c r="AF1" s="5"/>
      <c r="AG1" s="3"/>
      <c r="AH1" s="5"/>
      <c r="AI1" s="1"/>
      <c r="AJ1" s="5"/>
      <c r="AK1" s="3"/>
      <c r="AL1" s="5"/>
      <c r="AM1" s="1"/>
      <c r="AN1" s="5"/>
      <c r="AO1" s="3"/>
      <c r="AP1" s="5"/>
      <c r="AQ1" s="1"/>
      <c r="AR1" s="5"/>
      <c r="AS1" s="3"/>
      <c r="AT1" s="5"/>
      <c r="AU1" s="1"/>
      <c r="AV1" s="5"/>
      <c r="AW1" s="3"/>
      <c r="AX1" s="5"/>
      <c r="AY1" s="1"/>
      <c r="AZ1" s="5"/>
      <c r="BA1" s="3"/>
      <c r="BB1" s="5"/>
      <c r="BC1" s="1"/>
      <c r="BD1" s="4" t="s">
        <v>3</v>
      </c>
      <c r="BE1" s="3"/>
      <c r="BF1" s="5"/>
    </row>
    <row r="2" spans="1:58" s="19" customFormat="1" ht="15.5" thickTop="1" thickBot="1" x14ac:dyDescent="0.4">
      <c r="A2" s="16"/>
      <c r="B2" s="16"/>
      <c r="C2" s="16"/>
      <c r="D2" s="16"/>
      <c r="E2" s="16"/>
      <c r="F2" s="16"/>
      <c r="G2" s="16"/>
      <c r="H2" s="17" t="s">
        <v>101</v>
      </c>
      <c r="I2" s="18"/>
      <c r="J2" s="17" t="s">
        <v>102</v>
      </c>
      <c r="K2" s="18"/>
      <c r="L2" s="17" t="s">
        <v>103</v>
      </c>
      <c r="M2" s="18"/>
      <c r="N2" s="17" t="s">
        <v>104</v>
      </c>
      <c r="O2" s="18"/>
      <c r="P2" s="17" t="s">
        <v>105</v>
      </c>
      <c r="Q2" s="18"/>
      <c r="R2" s="17" t="s">
        <v>106</v>
      </c>
      <c r="S2" s="18"/>
      <c r="T2" s="17" t="s">
        <v>107</v>
      </c>
      <c r="U2" s="18"/>
      <c r="V2" s="17" t="s">
        <v>108</v>
      </c>
      <c r="W2" s="18"/>
      <c r="X2" s="17" t="s">
        <v>109</v>
      </c>
      <c r="Y2" s="18"/>
      <c r="Z2" s="17" t="s">
        <v>110</v>
      </c>
      <c r="AA2" s="18"/>
      <c r="AB2" s="17" t="s">
        <v>111</v>
      </c>
      <c r="AC2" s="18"/>
      <c r="AD2" s="17" t="s">
        <v>112</v>
      </c>
      <c r="AE2" s="18"/>
      <c r="AF2" s="17" t="s">
        <v>113</v>
      </c>
      <c r="AG2" s="18"/>
      <c r="AH2" s="17" t="s">
        <v>114</v>
      </c>
      <c r="AI2" s="18"/>
      <c r="AJ2" s="17" t="s">
        <v>115</v>
      </c>
      <c r="AK2" s="18"/>
      <c r="AL2" s="17" t="s">
        <v>116</v>
      </c>
      <c r="AM2" s="18"/>
      <c r="AN2" s="17" t="s">
        <v>117</v>
      </c>
      <c r="AO2" s="18"/>
      <c r="AP2" s="17" t="s">
        <v>118</v>
      </c>
      <c r="AQ2" s="18"/>
      <c r="AR2" s="17" t="s">
        <v>119</v>
      </c>
      <c r="AS2" s="18"/>
      <c r="AT2" s="17" t="s">
        <v>120</v>
      </c>
      <c r="AU2" s="18"/>
      <c r="AV2" s="17" t="s">
        <v>121</v>
      </c>
      <c r="AW2" s="18"/>
      <c r="AX2" s="17" t="s">
        <v>122</v>
      </c>
      <c r="AY2" s="18"/>
      <c r="AZ2" s="17" t="s">
        <v>123</v>
      </c>
      <c r="BA2" s="18"/>
      <c r="BB2" s="17" t="s">
        <v>124</v>
      </c>
      <c r="BC2" s="18"/>
      <c r="BD2" s="17" t="s">
        <v>4</v>
      </c>
      <c r="BE2" s="18"/>
      <c r="BF2" s="17" t="s">
        <v>89</v>
      </c>
    </row>
    <row r="3" spans="1:58" ht="15" thickTop="1" x14ac:dyDescent="0.35">
      <c r="A3" s="2"/>
      <c r="B3" s="2" t="s">
        <v>7</v>
      </c>
      <c r="C3" s="2"/>
      <c r="D3" s="2"/>
      <c r="E3" s="2"/>
      <c r="F3" s="2"/>
      <c r="G3" s="2"/>
      <c r="H3" s="6"/>
      <c r="I3" s="7"/>
      <c r="J3" s="6"/>
      <c r="K3" s="7"/>
      <c r="L3" s="6"/>
      <c r="M3" s="7"/>
      <c r="N3" s="6"/>
      <c r="O3" s="7"/>
      <c r="P3" s="6"/>
      <c r="Q3" s="7"/>
      <c r="R3" s="6"/>
      <c r="S3" s="7"/>
      <c r="T3" s="6"/>
      <c r="U3" s="7"/>
      <c r="V3" s="6"/>
      <c r="W3" s="7"/>
      <c r="X3" s="6"/>
      <c r="Y3" s="7"/>
      <c r="Z3" s="6"/>
      <c r="AA3" s="7"/>
      <c r="AB3" s="6"/>
      <c r="AC3" s="7"/>
      <c r="AD3" s="6"/>
      <c r="AE3" s="7"/>
      <c r="AF3" s="6"/>
      <c r="AG3" s="7"/>
      <c r="AH3" s="6"/>
      <c r="AI3" s="7"/>
      <c r="AJ3" s="6"/>
      <c r="AK3" s="7"/>
      <c r="AL3" s="6"/>
      <c r="AM3" s="7"/>
      <c r="AN3" s="6"/>
      <c r="AO3" s="7"/>
      <c r="AP3" s="6"/>
      <c r="AQ3" s="7"/>
      <c r="AR3" s="6"/>
      <c r="AS3" s="7"/>
      <c r="AT3" s="6"/>
      <c r="AU3" s="7"/>
      <c r="AV3" s="6"/>
      <c r="AW3" s="7"/>
      <c r="AX3" s="6"/>
      <c r="AY3" s="7"/>
      <c r="AZ3" s="6"/>
      <c r="BA3" s="7"/>
      <c r="BB3" s="6"/>
      <c r="BC3" s="7"/>
      <c r="BD3" s="6"/>
      <c r="BE3" s="7"/>
      <c r="BF3" s="6"/>
    </row>
    <row r="4" spans="1:58" outlineLevel="1" x14ac:dyDescent="0.35">
      <c r="A4" s="2"/>
      <c r="B4" s="2"/>
      <c r="C4" s="2"/>
      <c r="D4" s="2" t="s">
        <v>8</v>
      </c>
      <c r="E4" s="2"/>
      <c r="F4" s="2"/>
      <c r="G4" s="2"/>
      <c r="H4" s="6"/>
      <c r="I4" s="7"/>
      <c r="J4" s="6"/>
      <c r="K4" s="7"/>
      <c r="L4" s="6"/>
      <c r="M4" s="7"/>
      <c r="N4" s="6"/>
      <c r="O4" s="7"/>
      <c r="P4" s="6"/>
      <c r="Q4" s="7"/>
      <c r="R4" s="6"/>
      <c r="S4" s="7"/>
      <c r="T4" s="6"/>
      <c r="U4" s="7"/>
      <c r="V4" s="6"/>
      <c r="W4" s="7"/>
      <c r="X4" s="6"/>
      <c r="Y4" s="7"/>
      <c r="Z4" s="6"/>
      <c r="AA4" s="7"/>
      <c r="AB4" s="6"/>
      <c r="AC4" s="7"/>
      <c r="AD4" s="6"/>
      <c r="AE4" s="7"/>
      <c r="AF4" s="6"/>
      <c r="AG4" s="7"/>
      <c r="AH4" s="6"/>
      <c r="AI4" s="7"/>
      <c r="AJ4" s="6"/>
      <c r="AK4" s="7"/>
      <c r="AL4" s="6"/>
      <c r="AM4" s="7"/>
      <c r="AN4" s="6"/>
      <c r="AO4" s="7"/>
      <c r="AP4" s="6"/>
      <c r="AQ4" s="7"/>
      <c r="AR4" s="6"/>
      <c r="AS4" s="7"/>
      <c r="AT4" s="6"/>
      <c r="AU4" s="7"/>
      <c r="AV4" s="6"/>
      <c r="AW4" s="7"/>
      <c r="AX4" s="6"/>
      <c r="AY4" s="7"/>
      <c r="AZ4" s="6"/>
      <c r="BA4" s="7"/>
      <c r="BB4" s="6"/>
      <c r="BC4" s="7"/>
      <c r="BD4" s="6"/>
      <c r="BE4" s="7"/>
      <c r="BF4" s="6"/>
    </row>
    <row r="5" spans="1:58" outlineLevel="2" x14ac:dyDescent="0.35">
      <c r="A5" s="2"/>
      <c r="B5" s="2"/>
      <c r="C5" s="2"/>
      <c r="D5" s="2"/>
      <c r="E5" s="2" t="s">
        <v>9</v>
      </c>
      <c r="F5" s="2"/>
      <c r="G5" s="2"/>
      <c r="H5" s="6"/>
      <c r="I5" s="7"/>
      <c r="J5" s="6"/>
      <c r="K5" s="7"/>
      <c r="L5" s="6"/>
      <c r="M5" s="7"/>
      <c r="N5" s="6"/>
      <c r="O5" s="7"/>
      <c r="P5" s="6"/>
      <c r="Q5" s="7"/>
      <c r="R5" s="6"/>
      <c r="S5" s="7"/>
      <c r="T5" s="6"/>
      <c r="U5" s="7"/>
      <c r="V5" s="6"/>
      <c r="W5" s="7"/>
      <c r="X5" s="6"/>
      <c r="Y5" s="7"/>
      <c r="Z5" s="6"/>
      <c r="AA5" s="7"/>
      <c r="AB5" s="6"/>
      <c r="AC5" s="7"/>
      <c r="AD5" s="6"/>
      <c r="AE5" s="7"/>
      <c r="AF5" s="6"/>
      <c r="AG5" s="7"/>
      <c r="AH5" s="6"/>
      <c r="AI5" s="7"/>
      <c r="AJ5" s="6"/>
      <c r="AK5" s="7"/>
      <c r="AL5" s="6"/>
      <c r="AM5" s="7"/>
      <c r="AN5" s="6"/>
      <c r="AO5" s="7"/>
      <c r="AP5" s="6"/>
      <c r="AQ5" s="7"/>
      <c r="AR5" s="6"/>
      <c r="AS5" s="7"/>
      <c r="AT5" s="6"/>
      <c r="AU5" s="7"/>
      <c r="AV5" s="6"/>
      <c r="AW5" s="7"/>
      <c r="AX5" s="6"/>
      <c r="AY5" s="7"/>
      <c r="AZ5" s="6"/>
      <c r="BA5" s="7"/>
      <c r="BB5" s="6"/>
      <c r="BC5" s="7"/>
      <c r="BD5" s="6"/>
      <c r="BE5" s="7"/>
      <c r="BF5" s="6"/>
    </row>
    <row r="6" spans="1:58" outlineLevel="2" x14ac:dyDescent="0.35">
      <c r="A6" s="2"/>
      <c r="B6" s="2"/>
      <c r="C6" s="2"/>
      <c r="D6" s="2"/>
      <c r="E6" s="2"/>
      <c r="F6" s="2" t="s">
        <v>10</v>
      </c>
      <c r="G6" s="2"/>
      <c r="H6" s="6">
        <v>14752.13</v>
      </c>
      <c r="I6" s="7"/>
      <c r="J6" s="6">
        <v>13484.29</v>
      </c>
      <c r="K6" s="7"/>
      <c r="L6" s="6">
        <v>14793.28</v>
      </c>
      <c r="M6" s="7"/>
      <c r="N6" s="6">
        <v>13375.65</v>
      </c>
      <c r="O6" s="7"/>
      <c r="P6" s="6">
        <v>14712.06</v>
      </c>
      <c r="Q6" s="7"/>
      <c r="R6" s="6">
        <v>13326.6</v>
      </c>
      <c r="S6" s="7"/>
      <c r="T6" s="6">
        <v>14839.48</v>
      </c>
      <c r="U6" s="7"/>
      <c r="V6" s="6">
        <v>13631</v>
      </c>
      <c r="W6" s="7"/>
      <c r="X6" s="6">
        <v>14677.32</v>
      </c>
      <c r="Y6" s="7"/>
      <c r="Z6" s="6">
        <v>13245.77</v>
      </c>
      <c r="AA6" s="7"/>
      <c r="AB6" s="6">
        <v>14850.37</v>
      </c>
      <c r="AC6" s="7"/>
      <c r="AD6" s="6">
        <v>13437.15</v>
      </c>
      <c r="AE6" s="7"/>
      <c r="AF6" s="6">
        <v>14873.22</v>
      </c>
      <c r="AG6" s="7"/>
      <c r="AH6" s="6">
        <v>13564.35</v>
      </c>
      <c r="AI6" s="7"/>
      <c r="AJ6" s="6">
        <v>0</v>
      </c>
      <c r="AK6" s="7"/>
      <c r="AL6" s="6">
        <v>13595.39</v>
      </c>
      <c r="AM6" s="7"/>
      <c r="AN6" s="6">
        <v>0</v>
      </c>
      <c r="AO6" s="7"/>
      <c r="AP6" s="6">
        <v>13600</v>
      </c>
      <c r="AQ6" s="7"/>
      <c r="AR6" s="6">
        <v>0</v>
      </c>
      <c r="AS6" s="7"/>
      <c r="AT6" s="6">
        <v>13570.57</v>
      </c>
      <c r="AU6" s="7"/>
      <c r="AV6" s="6">
        <v>0</v>
      </c>
      <c r="AW6" s="7"/>
      <c r="AX6" s="6">
        <v>13600</v>
      </c>
      <c r="AY6" s="7"/>
      <c r="AZ6" s="6">
        <v>0</v>
      </c>
      <c r="BA6" s="7"/>
      <c r="BB6" s="6">
        <v>13599.19</v>
      </c>
      <c r="BC6" s="7"/>
      <c r="BD6" s="6">
        <f>ROUND(H6+L6+P6+T6+X6+AB6+AF6+AJ6+AN6+AR6+AV6+AZ6,5)</f>
        <v>103497.86</v>
      </c>
      <c r="BE6" s="7"/>
      <c r="BF6" s="6">
        <f t="shared" ref="BF6:BF11" si="0">ROUND(J6+N6+R6+V6+Z6+AD6+AH6+AL6+AP6+AT6+AX6+BB6,5)</f>
        <v>162029.96</v>
      </c>
    </row>
    <row r="7" spans="1:58" outlineLevel="2" x14ac:dyDescent="0.35">
      <c r="A7" s="2"/>
      <c r="B7" s="2"/>
      <c r="C7" s="2"/>
      <c r="D7" s="2"/>
      <c r="E7" s="2"/>
      <c r="F7" s="2" t="s">
        <v>11</v>
      </c>
      <c r="G7" s="2"/>
      <c r="H7" s="6">
        <v>68</v>
      </c>
      <c r="I7" s="7"/>
      <c r="J7" s="6">
        <v>68</v>
      </c>
      <c r="K7" s="7"/>
      <c r="L7" s="6">
        <v>68</v>
      </c>
      <c r="M7" s="7"/>
      <c r="N7" s="6">
        <v>68</v>
      </c>
      <c r="O7" s="7"/>
      <c r="P7" s="6">
        <v>68</v>
      </c>
      <c r="Q7" s="7"/>
      <c r="R7" s="6">
        <v>68</v>
      </c>
      <c r="S7" s="7"/>
      <c r="T7" s="6">
        <v>68</v>
      </c>
      <c r="U7" s="7"/>
      <c r="V7" s="6">
        <v>68</v>
      </c>
      <c r="W7" s="7"/>
      <c r="X7" s="6">
        <v>68</v>
      </c>
      <c r="Y7" s="7"/>
      <c r="Z7" s="6">
        <v>68</v>
      </c>
      <c r="AA7" s="7"/>
      <c r="AB7" s="6">
        <v>68</v>
      </c>
      <c r="AC7" s="7"/>
      <c r="AD7" s="6">
        <v>68</v>
      </c>
      <c r="AE7" s="7"/>
      <c r="AF7" s="6">
        <v>68</v>
      </c>
      <c r="AG7" s="7"/>
      <c r="AH7" s="6">
        <v>68</v>
      </c>
      <c r="AI7" s="7"/>
      <c r="AJ7" s="6">
        <v>0</v>
      </c>
      <c r="AK7" s="7"/>
      <c r="AL7" s="6">
        <v>68</v>
      </c>
      <c r="AM7" s="7"/>
      <c r="AN7" s="6">
        <v>0</v>
      </c>
      <c r="AO7" s="7"/>
      <c r="AP7" s="6">
        <v>68</v>
      </c>
      <c r="AQ7" s="7"/>
      <c r="AR7" s="6">
        <v>0</v>
      </c>
      <c r="AS7" s="7"/>
      <c r="AT7" s="6">
        <v>68</v>
      </c>
      <c r="AU7" s="7"/>
      <c r="AV7" s="6">
        <v>0</v>
      </c>
      <c r="AW7" s="7"/>
      <c r="AX7" s="6">
        <v>68</v>
      </c>
      <c r="AY7" s="7"/>
      <c r="AZ7" s="6">
        <v>0</v>
      </c>
      <c r="BA7" s="7"/>
      <c r="BB7" s="6">
        <v>68</v>
      </c>
      <c r="BC7" s="7"/>
      <c r="BD7" s="6">
        <f t="shared" ref="BD7:BD11" si="1">ROUND(H7+L7+P7+T7+X7+AB7+AF7+AJ7+AN7+AR7+AV7+AZ7,5)</f>
        <v>476</v>
      </c>
      <c r="BE7" s="7"/>
      <c r="BF7" s="6">
        <f t="shared" si="0"/>
        <v>816</v>
      </c>
    </row>
    <row r="8" spans="1:58" outlineLevel="2" x14ac:dyDescent="0.35">
      <c r="A8" s="2"/>
      <c r="B8" s="2"/>
      <c r="C8" s="2"/>
      <c r="D8" s="2"/>
      <c r="E8" s="2"/>
      <c r="F8" s="2" t="s">
        <v>12</v>
      </c>
      <c r="G8" s="2"/>
      <c r="H8" s="6">
        <v>6644.66</v>
      </c>
      <c r="I8" s="7"/>
      <c r="J8" s="6">
        <v>4584.92</v>
      </c>
      <c r="K8" s="7"/>
      <c r="L8" s="6">
        <v>7777.82</v>
      </c>
      <c r="M8" s="7"/>
      <c r="N8" s="6">
        <v>7031.06</v>
      </c>
      <c r="O8" s="7"/>
      <c r="P8" s="6">
        <v>10611.92</v>
      </c>
      <c r="Q8" s="7"/>
      <c r="R8" s="6">
        <v>8496.73</v>
      </c>
      <c r="S8" s="7"/>
      <c r="T8" s="6">
        <v>8112.58</v>
      </c>
      <c r="U8" s="7"/>
      <c r="V8" s="6">
        <v>6570.04</v>
      </c>
      <c r="W8" s="7"/>
      <c r="X8" s="6">
        <v>2945.08</v>
      </c>
      <c r="Y8" s="7"/>
      <c r="Z8" s="6">
        <v>2584.16</v>
      </c>
      <c r="AA8" s="7"/>
      <c r="AB8" s="6">
        <v>3524.02</v>
      </c>
      <c r="AC8" s="7"/>
      <c r="AD8" s="6">
        <v>2783.66</v>
      </c>
      <c r="AE8" s="7"/>
      <c r="AF8" s="6">
        <v>2975.68</v>
      </c>
      <c r="AG8" s="7"/>
      <c r="AH8" s="6">
        <v>2300.4299999999998</v>
      </c>
      <c r="AI8" s="7"/>
      <c r="AJ8" s="6">
        <v>0</v>
      </c>
      <c r="AK8" s="7"/>
      <c r="AL8" s="6">
        <v>2168.81</v>
      </c>
      <c r="AM8" s="7"/>
      <c r="AN8" s="6">
        <v>0</v>
      </c>
      <c r="AO8" s="7"/>
      <c r="AP8" s="6">
        <v>2726.09</v>
      </c>
      <c r="AQ8" s="7"/>
      <c r="AR8" s="6">
        <v>0</v>
      </c>
      <c r="AS8" s="7"/>
      <c r="AT8" s="6">
        <v>2337.5500000000002</v>
      </c>
      <c r="AU8" s="7"/>
      <c r="AV8" s="6">
        <v>0</v>
      </c>
      <c r="AW8" s="7"/>
      <c r="AX8" s="6">
        <v>2280.6</v>
      </c>
      <c r="AY8" s="7"/>
      <c r="AZ8" s="6">
        <v>0</v>
      </c>
      <c r="BA8" s="7"/>
      <c r="BB8" s="6">
        <v>5324.39</v>
      </c>
      <c r="BC8" s="7"/>
      <c r="BD8" s="6">
        <f t="shared" si="1"/>
        <v>42591.76</v>
      </c>
      <c r="BE8" s="7"/>
      <c r="BF8" s="6">
        <f t="shared" si="0"/>
        <v>49188.44</v>
      </c>
    </row>
    <row r="9" spans="1:58" ht="15" outlineLevel="2" thickBot="1" x14ac:dyDescent="0.4">
      <c r="A9" s="2"/>
      <c r="B9" s="2"/>
      <c r="C9" s="2"/>
      <c r="D9" s="2"/>
      <c r="E9" s="2"/>
      <c r="F9" s="2" t="s">
        <v>13</v>
      </c>
      <c r="G9" s="2"/>
      <c r="H9" s="9">
        <v>127.66</v>
      </c>
      <c r="I9" s="7"/>
      <c r="J9" s="9">
        <v>0</v>
      </c>
      <c r="K9" s="7"/>
      <c r="L9" s="9">
        <v>127.51</v>
      </c>
      <c r="M9" s="7"/>
      <c r="N9" s="9">
        <v>0</v>
      </c>
      <c r="O9" s="7"/>
      <c r="P9" s="9">
        <v>127.56</v>
      </c>
      <c r="Q9" s="7"/>
      <c r="R9" s="9">
        <v>0</v>
      </c>
      <c r="S9" s="7"/>
      <c r="T9" s="9">
        <v>142.76</v>
      </c>
      <c r="U9" s="7"/>
      <c r="V9" s="9">
        <v>0</v>
      </c>
      <c r="W9" s="7"/>
      <c r="X9" s="9">
        <v>142.49</v>
      </c>
      <c r="Y9" s="7"/>
      <c r="Z9" s="9">
        <v>0</v>
      </c>
      <c r="AA9" s="7"/>
      <c r="AB9" s="9">
        <v>141.12</v>
      </c>
      <c r="AC9" s="7"/>
      <c r="AD9" s="9">
        <v>0</v>
      </c>
      <c r="AE9" s="7"/>
      <c r="AF9" s="9">
        <v>147.52000000000001</v>
      </c>
      <c r="AG9" s="7"/>
      <c r="AH9" s="9">
        <v>0</v>
      </c>
      <c r="AI9" s="7"/>
      <c r="AJ9" s="9">
        <v>0</v>
      </c>
      <c r="AK9" s="7"/>
      <c r="AL9" s="9">
        <v>0</v>
      </c>
      <c r="AM9" s="7"/>
      <c r="AN9" s="9">
        <v>0</v>
      </c>
      <c r="AO9" s="7"/>
      <c r="AP9" s="9">
        <v>0</v>
      </c>
      <c r="AQ9" s="7"/>
      <c r="AR9" s="9">
        <v>0</v>
      </c>
      <c r="AS9" s="7"/>
      <c r="AT9" s="9">
        <v>0</v>
      </c>
      <c r="AU9" s="7"/>
      <c r="AV9" s="9">
        <v>0</v>
      </c>
      <c r="AW9" s="7"/>
      <c r="AX9" s="9">
        <v>112.77</v>
      </c>
      <c r="AY9" s="7"/>
      <c r="AZ9" s="9">
        <v>0</v>
      </c>
      <c r="BA9" s="7"/>
      <c r="BB9" s="9">
        <v>122.37</v>
      </c>
      <c r="BC9" s="7"/>
      <c r="BD9" s="9">
        <f t="shared" si="1"/>
        <v>956.62</v>
      </c>
      <c r="BE9" s="7"/>
      <c r="BF9" s="9">
        <f t="shared" si="0"/>
        <v>235.14</v>
      </c>
    </row>
    <row r="10" spans="1:58" outlineLevel="1" x14ac:dyDescent="0.35">
      <c r="A10" s="2"/>
      <c r="B10" s="2"/>
      <c r="C10" s="2"/>
      <c r="D10" s="2"/>
      <c r="E10" s="2" t="s">
        <v>15</v>
      </c>
      <c r="F10" s="2"/>
      <c r="G10" s="2"/>
      <c r="H10" s="6">
        <f>ROUND(SUM(H5:H9),5)</f>
        <v>21592.45</v>
      </c>
      <c r="I10" s="7"/>
      <c r="J10" s="6">
        <f>ROUND(SUM(J5:J9),5)</f>
        <v>18137.21</v>
      </c>
      <c r="K10" s="7"/>
      <c r="L10" s="6">
        <f>ROUND(SUM(L5:L9),5)</f>
        <v>22766.61</v>
      </c>
      <c r="M10" s="7"/>
      <c r="N10" s="6">
        <f>ROUND(SUM(N5:N9),5)</f>
        <v>20474.71</v>
      </c>
      <c r="O10" s="7"/>
      <c r="P10" s="6">
        <f>ROUND(SUM(P5:P9),5)</f>
        <v>25519.54</v>
      </c>
      <c r="Q10" s="7"/>
      <c r="R10" s="6">
        <f>ROUND(SUM(R5:R9),5)</f>
        <v>21891.33</v>
      </c>
      <c r="S10" s="7"/>
      <c r="T10" s="6">
        <f>ROUND(SUM(T5:T9),5)</f>
        <v>23162.82</v>
      </c>
      <c r="U10" s="7"/>
      <c r="V10" s="6">
        <f>ROUND(SUM(V5:V9),5)</f>
        <v>20269.04</v>
      </c>
      <c r="W10" s="7"/>
      <c r="X10" s="6">
        <f>ROUND(SUM(X5:X9),5)</f>
        <v>17832.89</v>
      </c>
      <c r="Y10" s="7"/>
      <c r="Z10" s="6">
        <f>ROUND(SUM(Z5:Z9),5)</f>
        <v>15897.93</v>
      </c>
      <c r="AA10" s="7"/>
      <c r="AB10" s="6">
        <f>ROUND(SUM(AB5:AB9),5)</f>
        <v>18583.509999999998</v>
      </c>
      <c r="AC10" s="7"/>
      <c r="AD10" s="6">
        <f>ROUND(SUM(AD5:AD9),5)</f>
        <v>16288.81</v>
      </c>
      <c r="AE10" s="7"/>
      <c r="AF10" s="6">
        <f>ROUND(SUM(AF5:AF9),5)</f>
        <v>18064.419999999998</v>
      </c>
      <c r="AG10" s="7"/>
      <c r="AH10" s="6">
        <f>ROUND(SUM(AH5:AH9),5)</f>
        <v>15932.78</v>
      </c>
      <c r="AI10" s="7"/>
      <c r="AJ10" s="6">
        <f>ROUND(SUM(AJ5:AJ9),5)</f>
        <v>0</v>
      </c>
      <c r="AK10" s="7"/>
      <c r="AL10" s="6">
        <f>ROUND(SUM(AL5:AL9),5)</f>
        <v>15832.2</v>
      </c>
      <c r="AM10" s="7"/>
      <c r="AN10" s="6">
        <f>ROUND(SUM(AN5:AN9),5)</f>
        <v>0</v>
      </c>
      <c r="AO10" s="7"/>
      <c r="AP10" s="6">
        <f>ROUND(SUM(AP5:AP9),5)</f>
        <v>16394.09</v>
      </c>
      <c r="AQ10" s="7"/>
      <c r="AR10" s="6">
        <f>ROUND(SUM(AR5:AR9),5)</f>
        <v>0</v>
      </c>
      <c r="AS10" s="7"/>
      <c r="AT10" s="6">
        <f>ROUND(SUM(AT5:AT9),5)</f>
        <v>15976.12</v>
      </c>
      <c r="AU10" s="7"/>
      <c r="AV10" s="6">
        <f>ROUND(SUM(AV5:AV9),5)</f>
        <v>0</v>
      </c>
      <c r="AW10" s="7"/>
      <c r="AX10" s="6">
        <f>ROUND(SUM(AX5:AX9),5)</f>
        <v>16061.37</v>
      </c>
      <c r="AY10" s="7"/>
      <c r="AZ10" s="6">
        <f>ROUND(SUM(AZ5:AZ9),5)</f>
        <v>0</v>
      </c>
      <c r="BA10" s="7"/>
      <c r="BB10" s="6">
        <f>ROUND(SUM(BB5:BB9),5)</f>
        <v>19113.95</v>
      </c>
      <c r="BC10" s="7"/>
      <c r="BD10" s="6">
        <f t="shared" si="1"/>
        <v>147522.23999999999</v>
      </c>
      <c r="BE10" s="7"/>
      <c r="BF10" s="6">
        <f t="shared" si="0"/>
        <v>212269.54</v>
      </c>
    </row>
    <row r="11" spans="1:58" outlineLevel="1" x14ac:dyDescent="0.35">
      <c r="A11" s="2"/>
      <c r="B11" s="2"/>
      <c r="C11" s="2"/>
      <c r="D11" s="2"/>
      <c r="E11" s="2" t="s">
        <v>25</v>
      </c>
      <c r="F11" s="2"/>
      <c r="G11" s="2"/>
      <c r="H11" s="6">
        <v>1021.52</v>
      </c>
      <c r="I11" s="7"/>
      <c r="J11" s="6">
        <v>914.54</v>
      </c>
      <c r="K11" s="7"/>
      <c r="L11" s="6">
        <v>1087.8599999999999</v>
      </c>
      <c r="M11" s="7"/>
      <c r="N11" s="6">
        <v>1044.77</v>
      </c>
      <c r="O11" s="7"/>
      <c r="P11" s="6">
        <v>1226.1600000000001</v>
      </c>
      <c r="Q11" s="7"/>
      <c r="R11" s="6">
        <v>1112.95</v>
      </c>
      <c r="S11" s="7"/>
      <c r="T11" s="6">
        <v>1102.1199999999999</v>
      </c>
      <c r="U11" s="7"/>
      <c r="V11" s="6">
        <v>1016.13</v>
      </c>
      <c r="W11" s="7"/>
      <c r="X11" s="6">
        <v>842.36</v>
      </c>
      <c r="Y11" s="7"/>
      <c r="Z11" s="6">
        <v>815.59</v>
      </c>
      <c r="AA11" s="7"/>
      <c r="AB11" s="6">
        <v>873.08</v>
      </c>
      <c r="AC11" s="7"/>
      <c r="AD11" s="6">
        <v>825.62</v>
      </c>
      <c r="AE11" s="7"/>
      <c r="AF11" s="6">
        <v>847.25</v>
      </c>
      <c r="AG11" s="7"/>
      <c r="AH11" s="6">
        <v>801.37</v>
      </c>
      <c r="AI11" s="7"/>
      <c r="AJ11" s="6">
        <v>0</v>
      </c>
      <c r="AK11" s="7"/>
      <c r="AL11" s="6">
        <v>796.36</v>
      </c>
      <c r="AM11" s="7"/>
      <c r="AN11" s="6">
        <v>0</v>
      </c>
      <c r="AO11" s="7"/>
      <c r="AP11" s="6">
        <v>824.47</v>
      </c>
      <c r="AQ11" s="7"/>
      <c r="AR11" s="6">
        <v>0</v>
      </c>
      <c r="AS11" s="7"/>
      <c r="AT11" s="6">
        <v>804.92</v>
      </c>
      <c r="AU11" s="7"/>
      <c r="AV11" s="6">
        <v>0</v>
      </c>
      <c r="AW11" s="7"/>
      <c r="AX11" s="6">
        <v>802.19</v>
      </c>
      <c r="AY11" s="7"/>
      <c r="AZ11" s="6">
        <v>0</v>
      </c>
      <c r="BA11" s="7"/>
      <c r="BB11" s="6">
        <v>955.12</v>
      </c>
      <c r="BC11" s="7"/>
      <c r="BD11" s="6">
        <f t="shared" si="1"/>
        <v>7000.35</v>
      </c>
      <c r="BE11" s="7"/>
      <c r="BF11" s="6">
        <f t="shared" si="0"/>
        <v>10714.03</v>
      </c>
    </row>
    <row r="12" spans="1:58" outlineLevel="2" x14ac:dyDescent="0.35">
      <c r="A12" s="2"/>
      <c r="B12" s="2"/>
      <c r="C12" s="2"/>
      <c r="D12" s="2"/>
      <c r="E12" s="2" t="s">
        <v>26</v>
      </c>
      <c r="F12" s="2"/>
      <c r="G12" s="2"/>
      <c r="H12" s="6"/>
      <c r="I12" s="7"/>
      <c r="J12" s="6"/>
      <c r="K12" s="7"/>
      <c r="L12" s="6"/>
      <c r="M12" s="7"/>
      <c r="N12" s="6"/>
      <c r="O12" s="7"/>
      <c r="P12" s="6"/>
      <c r="Q12" s="7"/>
      <c r="R12" s="6"/>
      <c r="S12" s="7"/>
      <c r="T12" s="6"/>
      <c r="U12" s="7"/>
      <c r="V12" s="6"/>
      <c r="W12" s="7"/>
      <c r="X12" s="6"/>
      <c r="Y12" s="7"/>
      <c r="Z12" s="6"/>
      <c r="AA12" s="7"/>
      <c r="AB12" s="6"/>
      <c r="AC12" s="7"/>
      <c r="AD12" s="6"/>
      <c r="AE12" s="7"/>
      <c r="AF12" s="6"/>
      <c r="AG12" s="7"/>
      <c r="AH12" s="6"/>
      <c r="AI12" s="7"/>
      <c r="AJ12" s="6"/>
      <c r="AK12" s="7"/>
      <c r="AL12" s="6"/>
      <c r="AM12" s="7"/>
      <c r="AN12" s="6"/>
      <c r="AO12" s="7"/>
      <c r="AP12" s="6"/>
      <c r="AQ12" s="7"/>
      <c r="AR12" s="6"/>
      <c r="AS12" s="7"/>
      <c r="AT12" s="6"/>
      <c r="AU12" s="7"/>
      <c r="AV12" s="6"/>
      <c r="AW12" s="7"/>
      <c r="AX12" s="6"/>
      <c r="AY12" s="7"/>
      <c r="AZ12" s="6"/>
      <c r="BA12" s="7"/>
      <c r="BB12" s="6"/>
      <c r="BC12" s="7"/>
      <c r="BD12" s="6"/>
      <c r="BE12" s="7"/>
      <c r="BF12" s="6"/>
    </row>
    <row r="13" spans="1:58" outlineLevel="2" x14ac:dyDescent="0.35">
      <c r="A13" s="2"/>
      <c r="B13" s="2"/>
      <c r="C13" s="2"/>
      <c r="D13" s="2"/>
      <c r="E13" s="2"/>
      <c r="F13" s="2" t="s">
        <v>27</v>
      </c>
      <c r="G13" s="2"/>
      <c r="H13" s="6">
        <v>0</v>
      </c>
      <c r="I13" s="7"/>
      <c r="J13" s="6">
        <v>0</v>
      </c>
      <c r="K13" s="7"/>
      <c r="L13" s="6">
        <v>120</v>
      </c>
      <c r="M13" s="7"/>
      <c r="N13" s="6">
        <v>202.25</v>
      </c>
      <c r="O13" s="7"/>
      <c r="P13" s="6">
        <v>0</v>
      </c>
      <c r="Q13" s="7"/>
      <c r="R13" s="6">
        <v>0</v>
      </c>
      <c r="S13" s="7"/>
      <c r="T13" s="6">
        <v>0</v>
      </c>
      <c r="U13" s="7"/>
      <c r="V13" s="6">
        <v>0</v>
      </c>
      <c r="W13" s="7"/>
      <c r="X13" s="6">
        <v>0</v>
      </c>
      <c r="Y13" s="7"/>
      <c r="Z13" s="6">
        <v>0</v>
      </c>
      <c r="AA13" s="7"/>
      <c r="AB13" s="6">
        <v>0</v>
      </c>
      <c r="AC13" s="7"/>
      <c r="AD13" s="6">
        <v>0</v>
      </c>
      <c r="AE13" s="7"/>
      <c r="AF13" s="6">
        <v>0</v>
      </c>
      <c r="AG13" s="7"/>
      <c r="AH13" s="6">
        <v>0</v>
      </c>
      <c r="AI13" s="7"/>
      <c r="AJ13" s="6">
        <v>0</v>
      </c>
      <c r="AK13" s="7"/>
      <c r="AL13" s="6">
        <v>0</v>
      </c>
      <c r="AM13" s="7"/>
      <c r="AN13" s="6">
        <v>0</v>
      </c>
      <c r="AO13" s="7"/>
      <c r="AP13" s="6">
        <v>0</v>
      </c>
      <c r="AQ13" s="7"/>
      <c r="AR13" s="6">
        <v>0</v>
      </c>
      <c r="AS13" s="7"/>
      <c r="AT13" s="6">
        <v>115</v>
      </c>
      <c r="AU13" s="7"/>
      <c r="AV13" s="6">
        <v>0</v>
      </c>
      <c r="AW13" s="7"/>
      <c r="AX13" s="6">
        <v>0</v>
      </c>
      <c r="AY13" s="7"/>
      <c r="AZ13" s="6">
        <v>0</v>
      </c>
      <c r="BA13" s="7"/>
      <c r="BB13" s="6">
        <v>0</v>
      </c>
      <c r="BC13" s="7"/>
      <c r="BD13" s="6">
        <f t="shared" ref="BD13:BD18" si="2">ROUND(H13+L13+P13+T13+X13+AB13+AF13+AJ13+AN13+AR13+AV13+AZ13,5)</f>
        <v>120</v>
      </c>
      <c r="BE13" s="7"/>
      <c r="BF13" s="6">
        <f t="shared" ref="BF13:BF18" si="3">ROUND(J13+N13+R13+V13+Z13+AD13+AH13+AL13+AP13+AT13+AX13+BB13,5)</f>
        <v>317.25</v>
      </c>
    </row>
    <row r="14" spans="1:58" ht="15" outlineLevel="2" thickBot="1" x14ac:dyDescent="0.4">
      <c r="A14" s="2"/>
      <c r="B14" s="2"/>
      <c r="C14" s="2"/>
      <c r="D14" s="2"/>
      <c r="E14" s="2"/>
      <c r="F14" s="2" t="s">
        <v>28</v>
      </c>
      <c r="G14" s="2"/>
      <c r="H14" s="9">
        <v>0</v>
      </c>
      <c r="I14" s="7"/>
      <c r="J14" s="9">
        <v>30</v>
      </c>
      <c r="K14" s="7"/>
      <c r="L14" s="9">
        <v>30</v>
      </c>
      <c r="M14" s="7"/>
      <c r="N14" s="9">
        <v>0</v>
      </c>
      <c r="O14" s="7"/>
      <c r="P14" s="9">
        <v>0</v>
      </c>
      <c r="Q14" s="7"/>
      <c r="R14" s="9">
        <v>126</v>
      </c>
      <c r="S14" s="7"/>
      <c r="T14" s="9">
        <v>0</v>
      </c>
      <c r="U14" s="7"/>
      <c r="V14" s="9">
        <v>0</v>
      </c>
      <c r="W14" s="7"/>
      <c r="X14" s="9">
        <v>30</v>
      </c>
      <c r="Y14" s="7"/>
      <c r="Z14" s="9">
        <v>0</v>
      </c>
      <c r="AA14" s="7"/>
      <c r="AB14" s="9">
        <v>0</v>
      </c>
      <c r="AC14" s="7"/>
      <c r="AD14" s="9">
        <v>30</v>
      </c>
      <c r="AE14" s="7"/>
      <c r="AF14" s="9">
        <v>0</v>
      </c>
      <c r="AG14" s="7"/>
      <c r="AH14" s="9">
        <v>0</v>
      </c>
      <c r="AI14" s="7"/>
      <c r="AJ14" s="9">
        <v>0</v>
      </c>
      <c r="AK14" s="7"/>
      <c r="AL14" s="9">
        <v>30</v>
      </c>
      <c r="AM14" s="7"/>
      <c r="AN14" s="9">
        <v>0</v>
      </c>
      <c r="AO14" s="7"/>
      <c r="AP14" s="9">
        <v>0</v>
      </c>
      <c r="AQ14" s="7"/>
      <c r="AR14" s="9">
        <v>0</v>
      </c>
      <c r="AS14" s="7"/>
      <c r="AT14" s="9">
        <v>0</v>
      </c>
      <c r="AU14" s="7"/>
      <c r="AV14" s="9">
        <v>0</v>
      </c>
      <c r="AW14" s="7"/>
      <c r="AX14" s="9">
        <v>0</v>
      </c>
      <c r="AY14" s="7"/>
      <c r="AZ14" s="9">
        <v>0</v>
      </c>
      <c r="BA14" s="7"/>
      <c r="BB14" s="9">
        <v>30</v>
      </c>
      <c r="BC14" s="7"/>
      <c r="BD14" s="9">
        <f t="shared" si="2"/>
        <v>60</v>
      </c>
      <c r="BE14" s="7"/>
      <c r="BF14" s="9">
        <f t="shared" si="3"/>
        <v>246</v>
      </c>
    </row>
    <row r="15" spans="1:58" outlineLevel="1" x14ac:dyDescent="0.35">
      <c r="A15" s="2"/>
      <c r="B15" s="2"/>
      <c r="C15" s="2"/>
      <c r="D15" s="2"/>
      <c r="E15" s="2" t="s">
        <v>29</v>
      </c>
      <c r="F15" s="2"/>
      <c r="G15" s="2"/>
      <c r="H15" s="6">
        <f>ROUND(SUM(H12:H14),5)</f>
        <v>0</v>
      </c>
      <c r="I15" s="7"/>
      <c r="J15" s="6">
        <f>ROUND(SUM(J12:J14),5)</f>
        <v>30</v>
      </c>
      <c r="K15" s="7"/>
      <c r="L15" s="6">
        <f>ROUND(SUM(L12:L14),5)</f>
        <v>150</v>
      </c>
      <c r="M15" s="7"/>
      <c r="N15" s="6">
        <f>ROUND(SUM(N12:N14),5)</f>
        <v>202.25</v>
      </c>
      <c r="O15" s="7"/>
      <c r="P15" s="6">
        <f>ROUND(SUM(P12:P14),5)</f>
        <v>0</v>
      </c>
      <c r="Q15" s="7"/>
      <c r="R15" s="6">
        <f>ROUND(SUM(R12:R14),5)</f>
        <v>126</v>
      </c>
      <c r="S15" s="7"/>
      <c r="T15" s="6">
        <f>ROUND(SUM(T12:T14),5)</f>
        <v>0</v>
      </c>
      <c r="U15" s="7"/>
      <c r="V15" s="6">
        <f>ROUND(SUM(V12:V14),5)</f>
        <v>0</v>
      </c>
      <c r="W15" s="7"/>
      <c r="X15" s="6">
        <f>ROUND(SUM(X12:X14),5)</f>
        <v>30</v>
      </c>
      <c r="Y15" s="7"/>
      <c r="Z15" s="6">
        <f>ROUND(SUM(Z12:Z14),5)</f>
        <v>0</v>
      </c>
      <c r="AA15" s="7"/>
      <c r="AB15" s="6">
        <f>ROUND(SUM(AB12:AB14),5)</f>
        <v>0</v>
      </c>
      <c r="AC15" s="7"/>
      <c r="AD15" s="6">
        <f>ROUND(SUM(AD12:AD14),5)</f>
        <v>30</v>
      </c>
      <c r="AE15" s="7"/>
      <c r="AF15" s="6">
        <f>ROUND(SUM(AF12:AF14),5)</f>
        <v>0</v>
      </c>
      <c r="AG15" s="7"/>
      <c r="AH15" s="6">
        <f>ROUND(SUM(AH12:AH14),5)</f>
        <v>0</v>
      </c>
      <c r="AI15" s="7"/>
      <c r="AJ15" s="6">
        <f>ROUND(SUM(AJ12:AJ14),5)</f>
        <v>0</v>
      </c>
      <c r="AK15" s="7"/>
      <c r="AL15" s="6">
        <f>ROUND(SUM(AL12:AL14),5)</f>
        <v>30</v>
      </c>
      <c r="AM15" s="7"/>
      <c r="AN15" s="6">
        <f>ROUND(SUM(AN12:AN14),5)</f>
        <v>0</v>
      </c>
      <c r="AO15" s="7"/>
      <c r="AP15" s="6">
        <f>ROUND(SUM(AP12:AP14),5)</f>
        <v>0</v>
      </c>
      <c r="AQ15" s="7"/>
      <c r="AR15" s="6">
        <f>ROUND(SUM(AR12:AR14),5)</f>
        <v>0</v>
      </c>
      <c r="AS15" s="7"/>
      <c r="AT15" s="6">
        <f>ROUND(SUM(AT12:AT14),5)</f>
        <v>115</v>
      </c>
      <c r="AU15" s="7"/>
      <c r="AV15" s="6">
        <f>ROUND(SUM(AV12:AV14),5)</f>
        <v>0</v>
      </c>
      <c r="AW15" s="7"/>
      <c r="AX15" s="6">
        <f>ROUND(SUM(AX12:AX14),5)</f>
        <v>0</v>
      </c>
      <c r="AY15" s="7"/>
      <c r="AZ15" s="6">
        <f>ROUND(SUM(AZ12:AZ14),5)</f>
        <v>0</v>
      </c>
      <c r="BA15" s="7"/>
      <c r="BB15" s="6">
        <f>ROUND(SUM(BB12:BB14),5)</f>
        <v>30</v>
      </c>
      <c r="BC15" s="7"/>
      <c r="BD15" s="6">
        <f t="shared" si="2"/>
        <v>180</v>
      </c>
      <c r="BE15" s="7"/>
      <c r="BF15" s="6">
        <f t="shared" si="3"/>
        <v>563.25</v>
      </c>
    </row>
    <row r="16" spans="1:58" ht="15" outlineLevel="1" thickBot="1" x14ac:dyDescent="0.4">
      <c r="A16" s="2"/>
      <c r="B16" s="2"/>
      <c r="C16" s="2"/>
      <c r="D16" s="2"/>
      <c r="E16" s="2" t="s">
        <v>125</v>
      </c>
      <c r="F16" s="2"/>
      <c r="G16" s="2"/>
      <c r="H16" s="6">
        <v>0</v>
      </c>
      <c r="I16" s="7"/>
      <c r="J16" s="6">
        <v>0</v>
      </c>
      <c r="K16" s="7"/>
      <c r="L16" s="6">
        <v>0</v>
      </c>
      <c r="M16" s="7"/>
      <c r="N16" s="6">
        <v>0</v>
      </c>
      <c r="O16" s="7"/>
      <c r="P16" s="6">
        <v>0</v>
      </c>
      <c r="Q16" s="7"/>
      <c r="R16" s="6">
        <v>0</v>
      </c>
      <c r="S16" s="7"/>
      <c r="T16" s="6">
        <v>0</v>
      </c>
      <c r="U16" s="7"/>
      <c r="V16" s="6">
        <v>0</v>
      </c>
      <c r="W16" s="7"/>
      <c r="X16" s="6">
        <v>0</v>
      </c>
      <c r="Y16" s="7"/>
      <c r="Z16" s="6">
        <v>0</v>
      </c>
      <c r="AA16" s="7"/>
      <c r="AB16" s="6">
        <v>0</v>
      </c>
      <c r="AC16" s="7"/>
      <c r="AD16" s="6">
        <v>0</v>
      </c>
      <c r="AE16" s="7"/>
      <c r="AF16" s="6">
        <v>0</v>
      </c>
      <c r="AG16" s="7"/>
      <c r="AH16" s="6">
        <v>0</v>
      </c>
      <c r="AI16" s="7"/>
      <c r="AJ16" s="6">
        <v>0</v>
      </c>
      <c r="AK16" s="7"/>
      <c r="AL16" s="6">
        <v>0</v>
      </c>
      <c r="AM16" s="7"/>
      <c r="AN16" s="6">
        <v>0</v>
      </c>
      <c r="AO16" s="7"/>
      <c r="AP16" s="6">
        <v>0</v>
      </c>
      <c r="AQ16" s="7"/>
      <c r="AR16" s="6">
        <v>0</v>
      </c>
      <c r="AS16" s="7"/>
      <c r="AT16" s="6">
        <v>0</v>
      </c>
      <c r="AU16" s="7"/>
      <c r="AV16" s="6">
        <v>0</v>
      </c>
      <c r="AW16" s="7"/>
      <c r="AX16" s="6">
        <v>0</v>
      </c>
      <c r="AY16" s="7"/>
      <c r="AZ16" s="6">
        <v>0</v>
      </c>
      <c r="BA16" s="7"/>
      <c r="BB16" s="6">
        <v>0</v>
      </c>
      <c r="BC16" s="7"/>
      <c r="BD16" s="6">
        <f t="shared" si="2"/>
        <v>0</v>
      </c>
      <c r="BE16" s="7"/>
      <c r="BF16" s="6">
        <f t="shared" si="3"/>
        <v>0</v>
      </c>
    </row>
    <row r="17" spans="1:58" ht="15" thickBot="1" x14ac:dyDescent="0.4">
      <c r="A17" s="2"/>
      <c r="B17" s="2"/>
      <c r="C17" s="2"/>
      <c r="D17" s="2" t="s">
        <v>31</v>
      </c>
      <c r="E17" s="2"/>
      <c r="F17" s="2"/>
      <c r="G17" s="2"/>
      <c r="H17" s="11">
        <f>ROUND(H4+SUM(H10:H11)+SUM(H15:H16),5)</f>
        <v>22613.97</v>
      </c>
      <c r="I17" s="7"/>
      <c r="J17" s="11">
        <f>ROUND(J4+SUM(J10:J11)+SUM(J15:J16),5)</f>
        <v>19081.75</v>
      </c>
      <c r="K17" s="7"/>
      <c r="L17" s="11">
        <f>ROUND(L4+SUM(L10:L11)+SUM(L15:L16),5)</f>
        <v>24004.47</v>
      </c>
      <c r="M17" s="7"/>
      <c r="N17" s="11">
        <f>ROUND(N4+SUM(N10:N11)+SUM(N15:N16),5)</f>
        <v>21721.73</v>
      </c>
      <c r="O17" s="7"/>
      <c r="P17" s="11">
        <f>ROUND(P4+SUM(P10:P11)+SUM(P15:P16),5)</f>
        <v>26745.7</v>
      </c>
      <c r="Q17" s="7"/>
      <c r="R17" s="11">
        <f>ROUND(R4+SUM(R10:R11)+SUM(R15:R16),5)</f>
        <v>23130.28</v>
      </c>
      <c r="S17" s="7"/>
      <c r="T17" s="11">
        <f>ROUND(T4+SUM(T10:T11)+SUM(T15:T16),5)</f>
        <v>24264.94</v>
      </c>
      <c r="U17" s="7"/>
      <c r="V17" s="11">
        <f>ROUND(V4+SUM(V10:V11)+SUM(V15:V16),5)</f>
        <v>21285.17</v>
      </c>
      <c r="W17" s="7"/>
      <c r="X17" s="11">
        <f>ROUND(X4+SUM(X10:X11)+SUM(X15:X16),5)</f>
        <v>18705.25</v>
      </c>
      <c r="Y17" s="7"/>
      <c r="Z17" s="11">
        <f>ROUND(Z4+SUM(Z10:Z11)+SUM(Z15:Z16),5)</f>
        <v>16713.52</v>
      </c>
      <c r="AA17" s="7"/>
      <c r="AB17" s="11">
        <f>ROUND(AB4+SUM(AB10:AB11)+SUM(AB15:AB16),5)</f>
        <v>19456.59</v>
      </c>
      <c r="AC17" s="7"/>
      <c r="AD17" s="11">
        <f>ROUND(AD4+SUM(AD10:AD11)+SUM(AD15:AD16),5)</f>
        <v>17144.43</v>
      </c>
      <c r="AE17" s="7"/>
      <c r="AF17" s="11">
        <f>ROUND(AF4+SUM(AF10:AF11)+SUM(AF15:AF16),5)</f>
        <v>18911.669999999998</v>
      </c>
      <c r="AG17" s="7"/>
      <c r="AH17" s="11">
        <f>ROUND(AH4+SUM(AH10:AH11)+SUM(AH15:AH16),5)</f>
        <v>16734.150000000001</v>
      </c>
      <c r="AI17" s="7"/>
      <c r="AJ17" s="11">
        <f>ROUND(AJ4+SUM(AJ10:AJ11)+SUM(AJ15:AJ16),5)</f>
        <v>0</v>
      </c>
      <c r="AK17" s="7"/>
      <c r="AL17" s="11">
        <f>ROUND(AL4+SUM(AL10:AL11)+SUM(AL15:AL16),5)</f>
        <v>16658.560000000001</v>
      </c>
      <c r="AM17" s="7"/>
      <c r="AN17" s="11">
        <f>ROUND(AN4+SUM(AN10:AN11)+SUM(AN15:AN16),5)</f>
        <v>0</v>
      </c>
      <c r="AO17" s="7"/>
      <c r="AP17" s="11">
        <f>ROUND(AP4+SUM(AP10:AP11)+SUM(AP15:AP16),5)</f>
        <v>17218.560000000001</v>
      </c>
      <c r="AQ17" s="7"/>
      <c r="AR17" s="11">
        <f>ROUND(AR4+SUM(AR10:AR11)+SUM(AR15:AR16),5)</f>
        <v>0</v>
      </c>
      <c r="AS17" s="7"/>
      <c r="AT17" s="11">
        <f>ROUND(AT4+SUM(AT10:AT11)+SUM(AT15:AT16),5)</f>
        <v>16896.04</v>
      </c>
      <c r="AU17" s="7"/>
      <c r="AV17" s="11">
        <f>ROUND(AV4+SUM(AV10:AV11)+SUM(AV15:AV16),5)</f>
        <v>0</v>
      </c>
      <c r="AW17" s="7"/>
      <c r="AX17" s="11">
        <f>ROUND(AX4+SUM(AX10:AX11)+SUM(AX15:AX16),5)</f>
        <v>16863.560000000001</v>
      </c>
      <c r="AY17" s="7"/>
      <c r="AZ17" s="11">
        <f>ROUND(AZ4+SUM(AZ10:AZ11)+SUM(AZ15:AZ16),5)</f>
        <v>0</v>
      </c>
      <c r="BA17" s="7"/>
      <c r="BB17" s="11">
        <f>ROUND(BB4+SUM(BB10:BB11)+SUM(BB15:BB16),5)</f>
        <v>20099.07</v>
      </c>
      <c r="BC17" s="7"/>
      <c r="BD17" s="11">
        <f t="shared" si="2"/>
        <v>154702.59</v>
      </c>
      <c r="BE17" s="7"/>
      <c r="BF17" s="11">
        <f t="shared" si="3"/>
        <v>223546.82</v>
      </c>
    </row>
    <row r="18" spans="1:58" x14ac:dyDescent="0.35">
      <c r="A18" s="2"/>
      <c r="B18" s="2"/>
      <c r="C18" s="2" t="s">
        <v>32</v>
      </c>
      <c r="D18" s="2"/>
      <c r="E18" s="2"/>
      <c r="F18" s="2"/>
      <c r="G18" s="2"/>
      <c r="H18" s="6">
        <f>H17</f>
        <v>22613.97</v>
      </c>
      <c r="I18" s="7"/>
      <c r="J18" s="6">
        <f>J17</f>
        <v>19081.75</v>
      </c>
      <c r="K18" s="7"/>
      <c r="L18" s="6">
        <f>L17</f>
        <v>24004.47</v>
      </c>
      <c r="M18" s="7"/>
      <c r="N18" s="6">
        <f>N17</f>
        <v>21721.73</v>
      </c>
      <c r="O18" s="7"/>
      <c r="P18" s="6">
        <f>P17</f>
        <v>26745.7</v>
      </c>
      <c r="Q18" s="7"/>
      <c r="R18" s="6">
        <f>R17</f>
        <v>23130.28</v>
      </c>
      <c r="S18" s="7"/>
      <c r="T18" s="6">
        <f>T17</f>
        <v>24264.94</v>
      </c>
      <c r="U18" s="7"/>
      <c r="V18" s="6">
        <f>V17</f>
        <v>21285.17</v>
      </c>
      <c r="W18" s="7"/>
      <c r="X18" s="6">
        <f>X17</f>
        <v>18705.25</v>
      </c>
      <c r="Y18" s="7"/>
      <c r="Z18" s="6">
        <f>Z17</f>
        <v>16713.52</v>
      </c>
      <c r="AA18" s="7"/>
      <c r="AB18" s="6">
        <f>AB17</f>
        <v>19456.59</v>
      </c>
      <c r="AC18" s="7"/>
      <c r="AD18" s="6">
        <f>AD17</f>
        <v>17144.43</v>
      </c>
      <c r="AE18" s="7"/>
      <c r="AF18" s="6">
        <f>AF17</f>
        <v>18911.669999999998</v>
      </c>
      <c r="AG18" s="7"/>
      <c r="AH18" s="6">
        <f>AH17</f>
        <v>16734.150000000001</v>
      </c>
      <c r="AI18" s="7"/>
      <c r="AJ18" s="6">
        <f>AJ17</f>
        <v>0</v>
      </c>
      <c r="AK18" s="7"/>
      <c r="AL18" s="6">
        <f>AL17</f>
        <v>16658.560000000001</v>
      </c>
      <c r="AM18" s="7"/>
      <c r="AN18" s="6">
        <f>AN17</f>
        <v>0</v>
      </c>
      <c r="AO18" s="7"/>
      <c r="AP18" s="6">
        <f>AP17</f>
        <v>17218.560000000001</v>
      </c>
      <c r="AQ18" s="7"/>
      <c r="AR18" s="6">
        <f>AR17</f>
        <v>0</v>
      </c>
      <c r="AS18" s="7"/>
      <c r="AT18" s="6">
        <f>AT17</f>
        <v>16896.04</v>
      </c>
      <c r="AU18" s="7"/>
      <c r="AV18" s="6">
        <f>AV17</f>
        <v>0</v>
      </c>
      <c r="AW18" s="7"/>
      <c r="AX18" s="6">
        <f>AX17</f>
        <v>16863.560000000001</v>
      </c>
      <c r="AY18" s="7"/>
      <c r="AZ18" s="6">
        <f>AZ17</f>
        <v>0</v>
      </c>
      <c r="BA18" s="7"/>
      <c r="BB18" s="6">
        <f>BB17</f>
        <v>20099.07</v>
      </c>
      <c r="BC18" s="7"/>
      <c r="BD18" s="6">
        <f t="shared" si="2"/>
        <v>154702.59</v>
      </c>
      <c r="BE18" s="7"/>
      <c r="BF18" s="6">
        <f t="shared" si="3"/>
        <v>223546.82</v>
      </c>
    </row>
    <row r="19" spans="1:58" outlineLevel="1" x14ac:dyDescent="0.35">
      <c r="A19" s="2"/>
      <c r="B19" s="2"/>
      <c r="C19" s="2"/>
      <c r="D19" s="2" t="s">
        <v>33</v>
      </c>
      <c r="E19" s="2"/>
      <c r="F19" s="2"/>
      <c r="G19" s="2"/>
      <c r="H19" s="6"/>
      <c r="I19" s="7"/>
      <c r="J19" s="6"/>
      <c r="K19" s="7"/>
      <c r="L19" s="6"/>
      <c r="M19" s="7"/>
      <c r="N19" s="6"/>
      <c r="O19" s="7"/>
      <c r="P19" s="6"/>
      <c r="Q19" s="7"/>
      <c r="R19" s="6"/>
      <c r="S19" s="7"/>
      <c r="T19" s="6"/>
      <c r="U19" s="7"/>
      <c r="V19" s="6"/>
      <c r="W19" s="7"/>
      <c r="X19" s="6"/>
      <c r="Y19" s="7"/>
      <c r="Z19" s="6"/>
      <c r="AA19" s="7"/>
      <c r="AB19" s="6"/>
      <c r="AC19" s="7"/>
      <c r="AD19" s="6"/>
      <c r="AE19" s="7"/>
      <c r="AF19" s="6"/>
      <c r="AG19" s="7"/>
      <c r="AH19" s="6"/>
      <c r="AI19" s="7"/>
      <c r="AJ19" s="6"/>
      <c r="AK19" s="7"/>
      <c r="AL19" s="6"/>
      <c r="AM19" s="7"/>
      <c r="AN19" s="6"/>
      <c r="AO19" s="7"/>
      <c r="AP19" s="6"/>
      <c r="AQ19" s="7"/>
      <c r="AR19" s="6"/>
      <c r="AS19" s="7"/>
      <c r="AT19" s="6"/>
      <c r="AU19" s="7"/>
      <c r="AV19" s="6"/>
      <c r="AW19" s="7"/>
      <c r="AX19" s="6"/>
      <c r="AY19" s="7"/>
      <c r="AZ19" s="6"/>
      <c r="BA19" s="7"/>
      <c r="BB19" s="6"/>
      <c r="BC19" s="7"/>
      <c r="BD19" s="6"/>
      <c r="BE19" s="7"/>
      <c r="BF19" s="6"/>
    </row>
    <row r="20" spans="1:58" outlineLevel="1" x14ac:dyDescent="0.35">
      <c r="A20" s="2"/>
      <c r="B20" s="2"/>
      <c r="C20" s="2"/>
      <c r="D20" s="2"/>
      <c r="E20" s="2" t="s">
        <v>34</v>
      </c>
      <c r="F20" s="2"/>
      <c r="G20" s="2"/>
      <c r="H20" s="6">
        <v>9670.69</v>
      </c>
      <c r="I20" s="7"/>
      <c r="J20" s="6">
        <v>8426.0400000000009</v>
      </c>
      <c r="K20" s="7"/>
      <c r="L20" s="6">
        <v>9662.27</v>
      </c>
      <c r="M20" s="7"/>
      <c r="N20" s="6">
        <v>8544.39</v>
      </c>
      <c r="O20" s="7"/>
      <c r="P20" s="6">
        <v>9617.2099999999991</v>
      </c>
      <c r="Q20" s="7"/>
      <c r="R20" s="6">
        <v>8545.49</v>
      </c>
      <c r="S20" s="7"/>
      <c r="T20" s="6">
        <v>9830.5300000000007</v>
      </c>
      <c r="U20" s="7"/>
      <c r="V20" s="6">
        <v>8545.48</v>
      </c>
      <c r="W20" s="7"/>
      <c r="X20" s="6">
        <v>13135.95</v>
      </c>
      <c r="Y20" s="7"/>
      <c r="Z20" s="6">
        <v>8539.85</v>
      </c>
      <c r="AA20" s="7"/>
      <c r="AB20" s="6">
        <v>9947.76</v>
      </c>
      <c r="AC20" s="7"/>
      <c r="AD20" s="6">
        <v>8557.5400000000009</v>
      </c>
      <c r="AE20" s="7"/>
      <c r="AF20" s="6">
        <v>0</v>
      </c>
      <c r="AG20" s="7"/>
      <c r="AH20" s="6">
        <v>8617.32</v>
      </c>
      <c r="AI20" s="7"/>
      <c r="AJ20" s="6">
        <v>0</v>
      </c>
      <c r="AK20" s="7"/>
      <c r="AL20" s="6">
        <v>8600.36</v>
      </c>
      <c r="AM20" s="7"/>
      <c r="AN20" s="6">
        <v>0</v>
      </c>
      <c r="AO20" s="7"/>
      <c r="AP20" s="6">
        <v>8480.83</v>
      </c>
      <c r="AQ20" s="7"/>
      <c r="AR20" s="6">
        <v>0</v>
      </c>
      <c r="AS20" s="7"/>
      <c r="AT20" s="6">
        <v>8553.82</v>
      </c>
      <c r="AU20" s="7"/>
      <c r="AV20" s="6">
        <v>0</v>
      </c>
      <c r="AW20" s="7"/>
      <c r="AX20" s="6">
        <v>8554.2800000000007</v>
      </c>
      <c r="AY20" s="7"/>
      <c r="AZ20" s="6">
        <v>0</v>
      </c>
      <c r="BA20" s="7"/>
      <c r="BB20" s="6">
        <v>8541.57</v>
      </c>
      <c r="BC20" s="7"/>
      <c r="BD20" s="6">
        <f>ROUND(H20+L20+P20+T20+X20+AB20+AF20+AJ20+AN20+AR20+AV20+AZ20,5)</f>
        <v>61864.41</v>
      </c>
      <c r="BE20" s="7"/>
      <c r="BF20" s="6">
        <f>ROUND(J20+N20+R20+V20+Z20+AD20+AH20+AL20+AP20+AT20+AX20+BB20,5)</f>
        <v>102506.97</v>
      </c>
    </row>
    <row r="21" spans="1:58" outlineLevel="2" x14ac:dyDescent="0.35">
      <c r="A21" s="2"/>
      <c r="B21" s="2"/>
      <c r="C21" s="2"/>
      <c r="D21" s="2"/>
      <c r="E21" s="2" t="s">
        <v>35</v>
      </c>
      <c r="F21" s="2"/>
      <c r="G21" s="2"/>
      <c r="H21" s="6"/>
      <c r="I21" s="7"/>
      <c r="J21" s="6"/>
      <c r="K21" s="7"/>
      <c r="L21" s="6"/>
      <c r="M21" s="7"/>
      <c r="N21" s="6"/>
      <c r="O21" s="7"/>
      <c r="P21" s="6"/>
      <c r="Q21" s="7"/>
      <c r="R21" s="6"/>
      <c r="S21" s="7"/>
      <c r="T21" s="6"/>
      <c r="U21" s="7"/>
      <c r="V21" s="6"/>
      <c r="W21" s="7"/>
      <c r="X21" s="6"/>
      <c r="Y21" s="7"/>
      <c r="Z21" s="6"/>
      <c r="AA21" s="7"/>
      <c r="AB21" s="6"/>
      <c r="AC21" s="7"/>
      <c r="AD21" s="6"/>
      <c r="AE21" s="7"/>
      <c r="AF21" s="6"/>
      <c r="AG21" s="7"/>
      <c r="AH21" s="6"/>
      <c r="AI21" s="7"/>
      <c r="AJ21" s="6"/>
      <c r="AK21" s="7"/>
      <c r="AL21" s="6"/>
      <c r="AM21" s="7"/>
      <c r="AN21" s="6"/>
      <c r="AO21" s="7"/>
      <c r="AP21" s="6"/>
      <c r="AQ21" s="7"/>
      <c r="AR21" s="6"/>
      <c r="AS21" s="7"/>
      <c r="AT21" s="6"/>
      <c r="AU21" s="7"/>
      <c r="AV21" s="6"/>
      <c r="AW21" s="7"/>
      <c r="AX21" s="6"/>
      <c r="AY21" s="7"/>
      <c r="AZ21" s="6"/>
      <c r="BA21" s="7"/>
      <c r="BB21" s="6"/>
      <c r="BC21" s="7"/>
      <c r="BD21" s="6"/>
      <c r="BE21" s="7"/>
      <c r="BF21" s="6"/>
    </row>
    <row r="22" spans="1:58" outlineLevel="2" x14ac:dyDescent="0.35">
      <c r="A22" s="2"/>
      <c r="B22" s="2"/>
      <c r="C22" s="2"/>
      <c r="D22" s="2"/>
      <c r="E22" s="2"/>
      <c r="F22" s="2" t="s">
        <v>36</v>
      </c>
      <c r="G22" s="2"/>
      <c r="H22" s="6">
        <v>2594.33</v>
      </c>
      <c r="I22" s="7"/>
      <c r="J22" s="6">
        <v>1246.04</v>
      </c>
      <c r="K22" s="7"/>
      <c r="L22" s="6">
        <v>2044.55</v>
      </c>
      <c r="M22" s="7"/>
      <c r="N22" s="6">
        <v>728.15</v>
      </c>
      <c r="O22" s="7"/>
      <c r="P22" s="6">
        <v>1165.54</v>
      </c>
      <c r="Q22" s="7"/>
      <c r="R22" s="6">
        <v>0</v>
      </c>
      <c r="S22" s="7"/>
      <c r="T22" s="6">
        <v>840</v>
      </c>
      <c r="U22" s="7"/>
      <c r="V22" s="6">
        <v>0</v>
      </c>
      <c r="W22" s="7"/>
      <c r="X22" s="6">
        <v>1087.8599999999999</v>
      </c>
      <c r="Y22" s="7"/>
      <c r="Z22" s="6">
        <v>0</v>
      </c>
      <c r="AA22" s="7"/>
      <c r="AB22" s="6">
        <v>308.35000000000002</v>
      </c>
      <c r="AC22" s="7"/>
      <c r="AD22" s="6">
        <v>895.09</v>
      </c>
      <c r="AE22" s="7"/>
      <c r="AF22" s="6">
        <v>526.07000000000005</v>
      </c>
      <c r="AG22" s="7"/>
      <c r="AH22" s="6">
        <v>40.93</v>
      </c>
      <c r="AI22" s="7"/>
      <c r="AJ22" s="6">
        <v>0</v>
      </c>
      <c r="AK22" s="7"/>
      <c r="AL22" s="6">
        <v>572.19000000000005</v>
      </c>
      <c r="AM22" s="7"/>
      <c r="AN22" s="6">
        <v>0</v>
      </c>
      <c r="AO22" s="7"/>
      <c r="AP22" s="6">
        <v>327.16000000000003</v>
      </c>
      <c r="AQ22" s="7"/>
      <c r="AR22" s="6">
        <v>0</v>
      </c>
      <c r="AS22" s="7"/>
      <c r="AT22" s="6">
        <v>1149.8399999999999</v>
      </c>
      <c r="AU22" s="7"/>
      <c r="AV22" s="6">
        <v>0</v>
      </c>
      <c r="AW22" s="7"/>
      <c r="AX22" s="6">
        <v>1770</v>
      </c>
      <c r="AY22" s="7"/>
      <c r="AZ22" s="6">
        <v>0</v>
      </c>
      <c r="BA22" s="7"/>
      <c r="BB22" s="6">
        <v>210</v>
      </c>
      <c r="BC22" s="7"/>
      <c r="BD22" s="6">
        <f>ROUND(H22+L22+P22+T22+X22+AB22+AF22+AJ22+AN22+AR22+AV22+AZ22,5)</f>
        <v>8566.7000000000007</v>
      </c>
      <c r="BE22" s="7"/>
      <c r="BF22" s="6">
        <f>ROUND(J22+N22+R22+V22+Z22+AD22+AH22+AL22+AP22+AT22+AX22+BB22,5)</f>
        <v>6939.4</v>
      </c>
    </row>
    <row r="23" spans="1:58" outlineLevel="3" x14ac:dyDescent="0.35">
      <c r="A23" s="2"/>
      <c r="B23" s="2"/>
      <c r="C23" s="2"/>
      <c r="D23" s="2"/>
      <c r="E23" s="2"/>
      <c r="F23" s="2" t="s">
        <v>37</v>
      </c>
      <c r="G23" s="2"/>
      <c r="H23" s="6"/>
      <c r="I23" s="7"/>
      <c r="J23" s="6"/>
      <c r="K23" s="7"/>
      <c r="L23" s="6"/>
      <c r="M23" s="7"/>
      <c r="N23" s="6"/>
      <c r="O23" s="7"/>
      <c r="P23" s="6"/>
      <c r="Q23" s="7"/>
      <c r="R23" s="6"/>
      <c r="S23" s="7"/>
      <c r="T23" s="6"/>
      <c r="U23" s="7"/>
      <c r="V23" s="6"/>
      <c r="W23" s="7"/>
      <c r="X23" s="6"/>
      <c r="Y23" s="7"/>
      <c r="Z23" s="6"/>
      <c r="AA23" s="7"/>
      <c r="AB23" s="6"/>
      <c r="AC23" s="7"/>
      <c r="AD23" s="6"/>
      <c r="AE23" s="7"/>
      <c r="AF23" s="6"/>
      <c r="AG23" s="7"/>
      <c r="AH23" s="6"/>
      <c r="AI23" s="7"/>
      <c r="AJ23" s="6"/>
      <c r="AK23" s="7"/>
      <c r="AL23" s="6"/>
      <c r="AM23" s="7"/>
      <c r="AN23" s="6"/>
      <c r="AO23" s="7"/>
      <c r="AP23" s="6"/>
      <c r="AQ23" s="7"/>
      <c r="AR23" s="6"/>
      <c r="AS23" s="7"/>
      <c r="AT23" s="6"/>
      <c r="AU23" s="7"/>
      <c r="AV23" s="6"/>
      <c r="AW23" s="7"/>
      <c r="AX23" s="6"/>
      <c r="AY23" s="7"/>
      <c r="AZ23" s="6"/>
      <c r="BA23" s="7"/>
      <c r="BB23" s="6"/>
      <c r="BC23" s="7"/>
      <c r="BD23" s="6"/>
      <c r="BE23" s="7"/>
      <c r="BF23" s="6"/>
    </row>
    <row r="24" spans="1:58" outlineLevel="3" x14ac:dyDescent="0.35">
      <c r="A24" s="2"/>
      <c r="B24" s="2"/>
      <c r="C24" s="2"/>
      <c r="D24" s="2"/>
      <c r="E24" s="2"/>
      <c r="F24" s="2"/>
      <c r="G24" s="2" t="s">
        <v>38</v>
      </c>
      <c r="H24" s="6">
        <v>0</v>
      </c>
      <c r="I24" s="7"/>
      <c r="J24" s="6">
        <v>0</v>
      </c>
      <c r="K24" s="7"/>
      <c r="L24" s="6">
        <v>0</v>
      </c>
      <c r="M24" s="7"/>
      <c r="N24" s="6">
        <v>0</v>
      </c>
      <c r="O24" s="7"/>
      <c r="P24" s="6">
        <v>0</v>
      </c>
      <c r="Q24" s="7"/>
      <c r="R24" s="6">
        <v>0</v>
      </c>
      <c r="S24" s="7"/>
      <c r="T24" s="6">
        <v>0</v>
      </c>
      <c r="U24" s="7"/>
      <c r="V24" s="6">
        <v>2095</v>
      </c>
      <c r="W24" s="7"/>
      <c r="X24" s="6">
        <v>2095</v>
      </c>
      <c r="Y24" s="7"/>
      <c r="Z24" s="6">
        <v>0</v>
      </c>
      <c r="AA24" s="7"/>
      <c r="AB24" s="6">
        <v>0</v>
      </c>
      <c r="AC24" s="7"/>
      <c r="AD24" s="6">
        <v>0</v>
      </c>
      <c r="AE24" s="7"/>
      <c r="AF24" s="6">
        <v>0</v>
      </c>
      <c r="AG24" s="7"/>
      <c r="AH24" s="6">
        <v>0</v>
      </c>
      <c r="AI24" s="7"/>
      <c r="AJ24" s="6">
        <v>0</v>
      </c>
      <c r="AK24" s="7"/>
      <c r="AL24" s="6">
        <v>0</v>
      </c>
      <c r="AM24" s="7"/>
      <c r="AN24" s="6">
        <v>0</v>
      </c>
      <c r="AO24" s="7"/>
      <c r="AP24" s="6">
        <v>0</v>
      </c>
      <c r="AQ24" s="7"/>
      <c r="AR24" s="6">
        <v>0</v>
      </c>
      <c r="AS24" s="7"/>
      <c r="AT24" s="6">
        <v>0</v>
      </c>
      <c r="AU24" s="7"/>
      <c r="AV24" s="6">
        <v>0</v>
      </c>
      <c r="AW24" s="7"/>
      <c r="AX24" s="6">
        <v>0</v>
      </c>
      <c r="AY24" s="7"/>
      <c r="AZ24" s="6">
        <v>0</v>
      </c>
      <c r="BA24" s="7"/>
      <c r="BB24" s="6">
        <v>0</v>
      </c>
      <c r="BC24" s="7"/>
      <c r="BD24" s="6">
        <f>ROUND(H24+L24+P24+T24+X24+AB24+AF24+AJ24+AN24+AR24+AV24+AZ24,5)</f>
        <v>2095</v>
      </c>
      <c r="BE24" s="7"/>
      <c r="BF24" s="6">
        <f>ROUND(J24+N24+R24+V24+Z24+AD24+AH24+AL24+AP24+AT24+AX24+BB24,5)</f>
        <v>2095</v>
      </c>
    </row>
    <row r="25" spans="1:58" outlineLevel="3" x14ac:dyDescent="0.35">
      <c r="A25" s="2"/>
      <c r="B25" s="2"/>
      <c r="C25" s="2"/>
      <c r="D25" s="2"/>
      <c r="E25" s="2"/>
      <c r="F25" s="2"/>
      <c r="G25" s="2" t="s">
        <v>39</v>
      </c>
      <c r="H25" s="6">
        <v>15.95</v>
      </c>
      <c r="I25" s="7"/>
      <c r="J25" s="6">
        <v>15.95</v>
      </c>
      <c r="K25" s="7"/>
      <c r="L25" s="6">
        <v>15.95</v>
      </c>
      <c r="M25" s="7"/>
      <c r="N25" s="6">
        <v>15.95</v>
      </c>
      <c r="O25" s="7"/>
      <c r="P25" s="6">
        <v>15.95</v>
      </c>
      <c r="Q25" s="7"/>
      <c r="R25" s="6">
        <v>15.95</v>
      </c>
      <c r="S25" s="7"/>
      <c r="T25" s="6">
        <v>15.95</v>
      </c>
      <c r="U25" s="7"/>
      <c r="V25" s="6">
        <v>29.95</v>
      </c>
      <c r="W25" s="7"/>
      <c r="X25" s="6">
        <v>45.95</v>
      </c>
      <c r="Y25" s="7"/>
      <c r="Z25" s="6">
        <v>15.95</v>
      </c>
      <c r="AA25" s="7"/>
      <c r="AB25" s="6">
        <v>45.95</v>
      </c>
      <c r="AC25" s="7"/>
      <c r="AD25" s="6">
        <v>124.95</v>
      </c>
      <c r="AE25" s="7"/>
      <c r="AF25" s="6">
        <v>0</v>
      </c>
      <c r="AG25" s="7"/>
      <c r="AH25" s="6">
        <v>87.95</v>
      </c>
      <c r="AI25" s="7"/>
      <c r="AJ25" s="6">
        <v>0</v>
      </c>
      <c r="AK25" s="7"/>
      <c r="AL25" s="6">
        <v>15.95</v>
      </c>
      <c r="AM25" s="7"/>
      <c r="AN25" s="6">
        <v>0</v>
      </c>
      <c r="AO25" s="7"/>
      <c r="AP25" s="6">
        <v>15.95</v>
      </c>
      <c r="AQ25" s="7"/>
      <c r="AR25" s="6">
        <v>0</v>
      </c>
      <c r="AS25" s="7"/>
      <c r="AT25" s="6">
        <v>15.95</v>
      </c>
      <c r="AU25" s="7"/>
      <c r="AV25" s="6">
        <v>0</v>
      </c>
      <c r="AW25" s="7"/>
      <c r="AX25" s="6">
        <v>15.95</v>
      </c>
      <c r="AY25" s="7"/>
      <c r="AZ25" s="6">
        <v>0</v>
      </c>
      <c r="BA25" s="7"/>
      <c r="BB25" s="6">
        <v>15.95</v>
      </c>
      <c r="BC25" s="7"/>
      <c r="BD25" s="6">
        <f>ROUND(H25+L25+P25+T25+X25+AB25+AF25+AJ25+AN25+AR25+AV25+AZ25,5)</f>
        <v>155.69999999999999</v>
      </c>
      <c r="BE25" s="7"/>
      <c r="BF25" s="6">
        <f>ROUND(J25+N25+R25+V25+Z25+AD25+AH25+AL25+AP25+AT25+AX25+BB25,5)</f>
        <v>386.4</v>
      </c>
    </row>
    <row r="26" spans="1:58" ht="15" outlineLevel="3" thickBot="1" x14ac:dyDescent="0.4">
      <c r="A26" s="2"/>
      <c r="B26" s="2"/>
      <c r="C26" s="2"/>
      <c r="D26" s="2"/>
      <c r="E26" s="2"/>
      <c r="F26" s="2"/>
      <c r="G26" s="2" t="s">
        <v>40</v>
      </c>
      <c r="H26" s="9">
        <v>0</v>
      </c>
      <c r="I26" s="7"/>
      <c r="J26" s="9">
        <v>0</v>
      </c>
      <c r="K26" s="7"/>
      <c r="L26" s="9">
        <v>0</v>
      </c>
      <c r="M26" s="7"/>
      <c r="N26" s="9">
        <v>0</v>
      </c>
      <c r="O26" s="7"/>
      <c r="P26" s="9">
        <v>0</v>
      </c>
      <c r="Q26" s="7"/>
      <c r="R26" s="9">
        <v>0</v>
      </c>
      <c r="S26" s="7"/>
      <c r="T26" s="9">
        <v>0</v>
      </c>
      <c r="U26" s="7"/>
      <c r="V26" s="9">
        <v>0</v>
      </c>
      <c r="W26" s="7"/>
      <c r="X26" s="9">
        <v>0</v>
      </c>
      <c r="Y26" s="7"/>
      <c r="Z26" s="9">
        <v>0</v>
      </c>
      <c r="AA26" s="7"/>
      <c r="AB26" s="9">
        <v>0</v>
      </c>
      <c r="AC26" s="7"/>
      <c r="AD26" s="9">
        <v>6.75</v>
      </c>
      <c r="AE26" s="7"/>
      <c r="AF26" s="9">
        <v>0</v>
      </c>
      <c r="AG26" s="7"/>
      <c r="AH26" s="9">
        <v>0</v>
      </c>
      <c r="AI26" s="7"/>
      <c r="AJ26" s="9">
        <v>0</v>
      </c>
      <c r="AK26" s="7"/>
      <c r="AL26" s="9">
        <v>0</v>
      </c>
      <c r="AM26" s="7"/>
      <c r="AN26" s="9">
        <v>0</v>
      </c>
      <c r="AO26" s="7"/>
      <c r="AP26" s="9">
        <v>0</v>
      </c>
      <c r="AQ26" s="7"/>
      <c r="AR26" s="9">
        <v>0</v>
      </c>
      <c r="AS26" s="7"/>
      <c r="AT26" s="9">
        <v>0</v>
      </c>
      <c r="AU26" s="7"/>
      <c r="AV26" s="9">
        <v>0</v>
      </c>
      <c r="AW26" s="7"/>
      <c r="AX26" s="9">
        <v>0</v>
      </c>
      <c r="AY26" s="7"/>
      <c r="AZ26" s="9">
        <v>0</v>
      </c>
      <c r="BA26" s="7"/>
      <c r="BB26" s="9">
        <v>0</v>
      </c>
      <c r="BC26" s="7"/>
      <c r="BD26" s="9">
        <f>ROUND(H26+L26+P26+T26+X26+AB26+AF26+AJ26+AN26+AR26+AV26+AZ26,5)</f>
        <v>0</v>
      </c>
      <c r="BE26" s="7"/>
      <c r="BF26" s="9">
        <f>ROUND(J26+N26+R26+V26+Z26+AD26+AH26+AL26+AP26+AT26+AX26+BB26,5)</f>
        <v>6.75</v>
      </c>
    </row>
    <row r="27" spans="1:58" outlineLevel="2" x14ac:dyDescent="0.35">
      <c r="A27" s="2"/>
      <c r="B27" s="2"/>
      <c r="C27" s="2"/>
      <c r="D27" s="2"/>
      <c r="E27" s="2"/>
      <c r="F27" s="2" t="s">
        <v>41</v>
      </c>
      <c r="G27" s="2"/>
      <c r="H27" s="6">
        <f>ROUND(SUM(H23:H26),5)</f>
        <v>15.95</v>
      </c>
      <c r="I27" s="7"/>
      <c r="J27" s="6">
        <f>ROUND(SUM(J23:J26),5)</f>
        <v>15.95</v>
      </c>
      <c r="K27" s="7"/>
      <c r="L27" s="6">
        <f>ROUND(SUM(L23:L26),5)</f>
        <v>15.95</v>
      </c>
      <c r="M27" s="7"/>
      <c r="N27" s="6">
        <f>ROUND(SUM(N23:N26),5)</f>
        <v>15.95</v>
      </c>
      <c r="O27" s="7"/>
      <c r="P27" s="6">
        <f>ROUND(SUM(P23:P26),5)</f>
        <v>15.95</v>
      </c>
      <c r="Q27" s="7"/>
      <c r="R27" s="6">
        <f>ROUND(SUM(R23:R26),5)</f>
        <v>15.95</v>
      </c>
      <c r="S27" s="7"/>
      <c r="T27" s="6">
        <f>ROUND(SUM(T23:T26),5)</f>
        <v>15.95</v>
      </c>
      <c r="U27" s="7"/>
      <c r="V27" s="6">
        <f>ROUND(SUM(V23:V26),5)</f>
        <v>2124.9499999999998</v>
      </c>
      <c r="W27" s="7"/>
      <c r="X27" s="6">
        <f>ROUND(SUM(X23:X26),5)</f>
        <v>2140.9499999999998</v>
      </c>
      <c r="Y27" s="7"/>
      <c r="Z27" s="6">
        <f>ROUND(SUM(Z23:Z26),5)</f>
        <v>15.95</v>
      </c>
      <c r="AA27" s="7"/>
      <c r="AB27" s="6">
        <f>ROUND(SUM(AB23:AB26),5)</f>
        <v>45.95</v>
      </c>
      <c r="AC27" s="7"/>
      <c r="AD27" s="6">
        <f>ROUND(SUM(AD23:AD26),5)</f>
        <v>131.69999999999999</v>
      </c>
      <c r="AE27" s="7"/>
      <c r="AF27" s="6">
        <f>ROUND(SUM(AF23:AF26),5)</f>
        <v>0</v>
      </c>
      <c r="AG27" s="7"/>
      <c r="AH27" s="6">
        <f>ROUND(SUM(AH23:AH26),5)</f>
        <v>87.95</v>
      </c>
      <c r="AI27" s="7"/>
      <c r="AJ27" s="6">
        <f>ROUND(SUM(AJ23:AJ26),5)</f>
        <v>0</v>
      </c>
      <c r="AK27" s="7"/>
      <c r="AL27" s="6">
        <f>ROUND(SUM(AL23:AL26),5)</f>
        <v>15.95</v>
      </c>
      <c r="AM27" s="7"/>
      <c r="AN27" s="6">
        <f>ROUND(SUM(AN23:AN26),5)</f>
        <v>0</v>
      </c>
      <c r="AO27" s="7"/>
      <c r="AP27" s="6">
        <f>ROUND(SUM(AP23:AP26),5)</f>
        <v>15.95</v>
      </c>
      <c r="AQ27" s="7"/>
      <c r="AR27" s="6">
        <f>ROUND(SUM(AR23:AR26),5)</f>
        <v>0</v>
      </c>
      <c r="AS27" s="7"/>
      <c r="AT27" s="6">
        <f>ROUND(SUM(AT23:AT26),5)</f>
        <v>15.95</v>
      </c>
      <c r="AU27" s="7"/>
      <c r="AV27" s="6">
        <f>ROUND(SUM(AV23:AV26),5)</f>
        <v>0</v>
      </c>
      <c r="AW27" s="7"/>
      <c r="AX27" s="6">
        <f>ROUND(SUM(AX23:AX26),5)</f>
        <v>15.95</v>
      </c>
      <c r="AY27" s="7"/>
      <c r="AZ27" s="6">
        <f>ROUND(SUM(AZ23:AZ26),5)</f>
        <v>0</v>
      </c>
      <c r="BA27" s="7"/>
      <c r="BB27" s="6">
        <f>ROUND(SUM(BB23:BB26),5)</f>
        <v>15.95</v>
      </c>
      <c r="BC27" s="7"/>
      <c r="BD27" s="6">
        <f>ROUND(H27+L27+P27+T27+X27+AB27+AF27+AJ27+AN27+AR27+AV27+AZ27,5)</f>
        <v>2250.6999999999998</v>
      </c>
      <c r="BE27" s="7"/>
      <c r="BF27" s="6">
        <f>ROUND(J27+N27+R27+V27+Z27+AD27+AH27+AL27+AP27+AT27+AX27+BB27,5)</f>
        <v>2488.15</v>
      </c>
    </row>
    <row r="28" spans="1:58" outlineLevel="3" x14ac:dyDescent="0.35">
      <c r="A28" s="2"/>
      <c r="B28" s="2"/>
      <c r="C28" s="2"/>
      <c r="D28" s="2"/>
      <c r="E28" s="2"/>
      <c r="F28" s="2" t="s">
        <v>42</v>
      </c>
      <c r="G28" s="2"/>
      <c r="H28" s="6"/>
      <c r="I28" s="7"/>
      <c r="J28" s="6"/>
      <c r="K28" s="7"/>
      <c r="L28" s="6"/>
      <c r="M28" s="7"/>
      <c r="N28" s="6"/>
      <c r="O28" s="7"/>
      <c r="P28" s="6"/>
      <c r="Q28" s="7"/>
      <c r="R28" s="6"/>
      <c r="S28" s="7"/>
      <c r="T28" s="6"/>
      <c r="U28" s="7"/>
      <c r="V28" s="6"/>
      <c r="W28" s="7"/>
      <c r="X28" s="6"/>
      <c r="Y28" s="7"/>
      <c r="Z28" s="6"/>
      <c r="AA28" s="7"/>
      <c r="AB28" s="6"/>
      <c r="AC28" s="7"/>
      <c r="AD28" s="6"/>
      <c r="AE28" s="7"/>
      <c r="AF28" s="6"/>
      <c r="AG28" s="7"/>
      <c r="AH28" s="6"/>
      <c r="AI28" s="7"/>
      <c r="AJ28" s="6"/>
      <c r="AK28" s="7"/>
      <c r="AL28" s="6"/>
      <c r="AM28" s="7"/>
      <c r="AN28" s="6"/>
      <c r="AO28" s="7"/>
      <c r="AP28" s="6"/>
      <c r="AQ28" s="7"/>
      <c r="AR28" s="6"/>
      <c r="AS28" s="7"/>
      <c r="AT28" s="6"/>
      <c r="AU28" s="7"/>
      <c r="AV28" s="6"/>
      <c r="AW28" s="7"/>
      <c r="AX28" s="6"/>
      <c r="AY28" s="7"/>
      <c r="AZ28" s="6"/>
      <c r="BA28" s="7"/>
      <c r="BB28" s="6"/>
      <c r="BC28" s="7"/>
      <c r="BD28" s="6"/>
      <c r="BE28" s="7"/>
      <c r="BF28" s="6"/>
    </row>
    <row r="29" spans="1:58" outlineLevel="3" x14ac:dyDescent="0.35">
      <c r="A29" s="2"/>
      <c r="B29" s="2"/>
      <c r="C29" s="2"/>
      <c r="D29" s="2"/>
      <c r="E29" s="2"/>
      <c r="F29" s="2"/>
      <c r="G29" s="2" t="s">
        <v>43</v>
      </c>
      <c r="H29" s="6">
        <v>148.24</v>
      </c>
      <c r="I29" s="7"/>
      <c r="J29" s="6">
        <v>56.95</v>
      </c>
      <c r="K29" s="7"/>
      <c r="L29" s="6">
        <v>1428.75</v>
      </c>
      <c r="M29" s="7"/>
      <c r="N29" s="6">
        <v>1360.15</v>
      </c>
      <c r="O29" s="7"/>
      <c r="P29" s="6">
        <v>91.69</v>
      </c>
      <c r="Q29" s="7"/>
      <c r="R29" s="6">
        <v>56.95</v>
      </c>
      <c r="S29" s="7"/>
      <c r="T29" s="6">
        <v>15.65</v>
      </c>
      <c r="U29" s="7"/>
      <c r="V29" s="6">
        <v>56.95</v>
      </c>
      <c r="W29" s="7"/>
      <c r="X29" s="6">
        <v>26.47</v>
      </c>
      <c r="Y29" s="7"/>
      <c r="Z29" s="6">
        <v>67.760000000000005</v>
      </c>
      <c r="AA29" s="7"/>
      <c r="AB29" s="6">
        <v>6.95</v>
      </c>
      <c r="AC29" s="7"/>
      <c r="AD29" s="6">
        <v>56.95</v>
      </c>
      <c r="AE29" s="7"/>
      <c r="AF29" s="6">
        <v>0</v>
      </c>
      <c r="AG29" s="7"/>
      <c r="AH29" s="6">
        <v>872.15</v>
      </c>
      <c r="AI29" s="7"/>
      <c r="AJ29" s="6">
        <v>0</v>
      </c>
      <c r="AK29" s="7"/>
      <c r="AL29" s="6">
        <v>56.95</v>
      </c>
      <c r="AM29" s="7"/>
      <c r="AN29" s="6">
        <v>0</v>
      </c>
      <c r="AO29" s="7"/>
      <c r="AP29" s="6">
        <v>165.64</v>
      </c>
      <c r="AQ29" s="7"/>
      <c r="AR29" s="6">
        <v>0</v>
      </c>
      <c r="AS29" s="7"/>
      <c r="AT29" s="6">
        <v>56.95</v>
      </c>
      <c r="AU29" s="7"/>
      <c r="AV29" s="6">
        <v>0</v>
      </c>
      <c r="AW29" s="7"/>
      <c r="AX29" s="6">
        <v>56.95</v>
      </c>
      <c r="AY29" s="7"/>
      <c r="AZ29" s="6">
        <v>0</v>
      </c>
      <c r="BA29" s="7"/>
      <c r="BB29" s="6">
        <v>56.95</v>
      </c>
      <c r="BC29" s="7"/>
      <c r="BD29" s="6">
        <f t="shared" ref="BD29:BD34" si="4">ROUND(H29+L29+P29+T29+X29+AB29+AF29+AJ29+AN29+AR29+AV29+AZ29,5)</f>
        <v>1717.75</v>
      </c>
      <c r="BE29" s="7"/>
      <c r="BF29" s="6">
        <f t="shared" ref="BF29:BF34" si="5">ROUND(J29+N29+R29+V29+Z29+AD29+AH29+AL29+AP29+AT29+AX29+BB29,5)</f>
        <v>2921.3</v>
      </c>
    </row>
    <row r="30" spans="1:58" ht="15" outlineLevel="3" thickBot="1" x14ac:dyDescent="0.4">
      <c r="A30" s="2"/>
      <c r="B30" s="2"/>
      <c r="C30" s="2"/>
      <c r="D30" s="2"/>
      <c r="E30" s="2"/>
      <c r="F30" s="2"/>
      <c r="G30" s="2" t="s">
        <v>44</v>
      </c>
      <c r="H30" s="9">
        <v>279.29000000000002</v>
      </c>
      <c r="I30" s="7"/>
      <c r="J30" s="9">
        <v>367.93</v>
      </c>
      <c r="K30" s="7"/>
      <c r="L30" s="9">
        <v>494.03</v>
      </c>
      <c r="M30" s="7"/>
      <c r="N30" s="9">
        <v>372.03</v>
      </c>
      <c r="O30" s="7"/>
      <c r="P30" s="9">
        <v>282.39999999999998</v>
      </c>
      <c r="Q30" s="7"/>
      <c r="R30" s="9">
        <v>373.44</v>
      </c>
      <c r="S30" s="7"/>
      <c r="T30" s="9">
        <v>384.43</v>
      </c>
      <c r="U30" s="7"/>
      <c r="V30" s="9">
        <v>372.36</v>
      </c>
      <c r="W30" s="7"/>
      <c r="X30" s="9">
        <v>392.76</v>
      </c>
      <c r="Y30" s="7"/>
      <c r="Z30" s="9">
        <v>370.23</v>
      </c>
      <c r="AA30" s="7"/>
      <c r="AB30" s="9">
        <v>364.56</v>
      </c>
      <c r="AC30" s="7"/>
      <c r="AD30" s="9">
        <v>370.93</v>
      </c>
      <c r="AE30" s="7"/>
      <c r="AF30" s="9">
        <v>0</v>
      </c>
      <c r="AG30" s="7"/>
      <c r="AH30" s="9">
        <v>372.02</v>
      </c>
      <c r="AI30" s="7"/>
      <c r="AJ30" s="9">
        <v>0</v>
      </c>
      <c r="AK30" s="7"/>
      <c r="AL30" s="9">
        <v>371.52</v>
      </c>
      <c r="AM30" s="7"/>
      <c r="AN30" s="9">
        <v>0</v>
      </c>
      <c r="AO30" s="7"/>
      <c r="AP30" s="9">
        <v>385.13</v>
      </c>
      <c r="AQ30" s="7"/>
      <c r="AR30" s="9">
        <v>0</v>
      </c>
      <c r="AS30" s="7"/>
      <c r="AT30" s="9">
        <v>385.34</v>
      </c>
      <c r="AU30" s="7"/>
      <c r="AV30" s="9">
        <v>0</v>
      </c>
      <c r="AW30" s="7"/>
      <c r="AX30" s="9">
        <v>277.81</v>
      </c>
      <c r="AY30" s="7"/>
      <c r="AZ30" s="9">
        <v>0</v>
      </c>
      <c r="BA30" s="7"/>
      <c r="BB30" s="9">
        <v>388.38</v>
      </c>
      <c r="BC30" s="7"/>
      <c r="BD30" s="9">
        <f t="shared" si="4"/>
        <v>2197.4699999999998</v>
      </c>
      <c r="BE30" s="7"/>
      <c r="BF30" s="9">
        <f t="shared" si="5"/>
        <v>4407.12</v>
      </c>
    </row>
    <row r="31" spans="1:58" outlineLevel="2" x14ac:dyDescent="0.35">
      <c r="A31" s="2"/>
      <c r="B31" s="2"/>
      <c r="C31" s="2"/>
      <c r="D31" s="2"/>
      <c r="E31" s="2"/>
      <c r="F31" s="2" t="s">
        <v>45</v>
      </c>
      <c r="G31" s="2"/>
      <c r="H31" s="6">
        <f>ROUND(SUM(H28:H30),5)</f>
        <v>427.53</v>
      </c>
      <c r="I31" s="7"/>
      <c r="J31" s="6">
        <f>ROUND(SUM(J28:J30),5)</f>
        <v>424.88</v>
      </c>
      <c r="K31" s="7"/>
      <c r="L31" s="6">
        <f>ROUND(SUM(L28:L30),5)</f>
        <v>1922.78</v>
      </c>
      <c r="M31" s="7"/>
      <c r="N31" s="6">
        <f>ROUND(SUM(N28:N30),5)</f>
        <v>1732.18</v>
      </c>
      <c r="O31" s="7"/>
      <c r="P31" s="6">
        <f>ROUND(SUM(P28:P30),5)</f>
        <v>374.09</v>
      </c>
      <c r="Q31" s="7"/>
      <c r="R31" s="6">
        <f>ROUND(SUM(R28:R30),5)</f>
        <v>430.39</v>
      </c>
      <c r="S31" s="7"/>
      <c r="T31" s="6">
        <f>ROUND(SUM(T28:T30),5)</f>
        <v>400.08</v>
      </c>
      <c r="U31" s="7"/>
      <c r="V31" s="6">
        <f>ROUND(SUM(V28:V30),5)</f>
        <v>429.31</v>
      </c>
      <c r="W31" s="7"/>
      <c r="X31" s="6">
        <f>ROUND(SUM(X28:X30),5)</f>
        <v>419.23</v>
      </c>
      <c r="Y31" s="7"/>
      <c r="Z31" s="6">
        <f>ROUND(SUM(Z28:Z30),5)</f>
        <v>437.99</v>
      </c>
      <c r="AA31" s="7"/>
      <c r="AB31" s="6">
        <f>ROUND(SUM(AB28:AB30),5)</f>
        <v>371.51</v>
      </c>
      <c r="AC31" s="7"/>
      <c r="AD31" s="6">
        <f>ROUND(SUM(AD28:AD30),5)</f>
        <v>427.88</v>
      </c>
      <c r="AE31" s="7"/>
      <c r="AF31" s="6">
        <f>ROUND(SUM(AF28:AF30),5)</f>
        <v>0</v>
      </c>
      <c r="AG31" s="7"/>
      <c r="AH31" s="6">
        <f>ROUND(SUM(AH28:AH30),5)</f>
        <v>1244.17</v>
      </c>
      <c r="AI31" s="7"/>
      <c r="AJ31" s="6">
        <f>ROUND(SUM(AJ28:AJ30),5)</f>
        <v>0</v>
      </c>
      <c r="AK31" s="7"/>
      <c r="AL31" s="6">
        <f>ROUND(SUM(AL28:AL30),5)</f>
        <v>428.47</v>
      </c>
      <c r="AM31" s="7"/>
      <c r="AN31" s="6">
        <f>ROUND(SUM(AN28:AN30),5)</f>
        <v>0</v>
      </c>
      <c r="AO31" s="7"/>
      <c r="AP31" s="6">
        <f>ROUND(SUM(AP28:AP30),5)</f>
        <v>550.77</v>
      </c>
      <c r="AQ31" s="7"/>
      <c r="AR31" s="6">
        <f>ROUND(SUM(AR28:AR30),5)</f>
        <v>0</v>
      </c>
      <c r="AS31" s="7"/>
      <c r="AT31" s="6">
        <f>ROUND(SUM(AT28:AT30),5)</f>
        <v>442.29</v>
      </c>
      <c r="AU31" s="7"/>
      <c r="AV31" s="6">
        <f>ROUND(SUM(AV28:AV30),5)</f>
        <v>0</v>
      </c>
      <c r="AW31" s="7"/>
      <c r="AX31" s="6">
        <f>ROUND(SUM(AX28:AX30),5)</f>
        <v>334.76</v>
      </c>
      <c r="AY31" s="7"/>
      <c r="AZ31" s="6">
        <f>ROUND(SUM(AZ28:AZ30),5)</f>
        <v>0</v>
      </c>
      <c r="BA31" s="7"/>
      <c r="BB31" s="6">
        <f>ROUND(SUM(BB28:BB30),5)</f>
        <v>445.33</v>
      </c>
      <c r="BC31" s="7"/>
      <c r="BD31" s="6">
        <f t="shared" si="4"/>
        <v>3915.22</v>
      </c>
      <c r="BE31" s="7"/>
      <c r="BF31" s="6">
        <f t="shared" si="5"/>
        <v>7328.42</v>
      </c>
    </row>
    <row r="32" spans="1:58" outlineLevel="2" x14ac:dyDescent="0.35">
      <c r="A32" s="2"/>
      <c r="B32" s="2"/>
      <c r="C32" s="2"/>
      <c r="D32" s="2"/>
      <c r="E32" s="2"/>
      <c r="F32" s="2" t="s">
        <v>46</v>
      </c>
      <c r="G32" s="2"/>
      <c r="H32" s="6">
        <v>0</v>
      </c>
      <c r="I32" s="7"/>
      <c r="J32" s="6">
        <v>0</v>
      </c>
      <c r="K32" s="7"/>
      <c r="L32" s="6">
        <v>0</v>
      </c>
      <c r="M32" s="7"/>
      <c r="N32" s="6">
        <v>0</v>
      </c>
      <c r="O32" s="7"/>
      <c r="P32" s="6">
        <v>0</v>
      </c>
      <c r="Q32" s="7"/>
      <c r="R32" s="6">
        <v>9145</v>
      </c>
      <c r="S32" s="7"/>
      <c r="T32" s="6">
        <v>10068</v>
      </c>
      <c r="U32" s="7"/>
      <c r="V32" s="6">
        <v>0</v>
      </c>
      <c r="W32" s="7"/>
      <c r="X32" s="6">
        <v>1035</v>
      </c>
      <c r="Y32" s="7"/>
      <c r="Z32" s="6">
        <v>100</v>
      </c>
      <c r="AA32" s="7"/>
      <c r="AB32" s="6">
        <v>0</v>
      </c>
      <c r="AC32" s="7"/>
      <c r="AD32" s="6">
        <v>1013</v>
      </c>
      <c r="AE32" s="7"/>
      <c r="AF32" s="6">
        <v>0</v>
      </c>
      <c r="AG32" s="7"/>
      <c r="AH32" s="6">
        <v>0</v>
      </c>
      <c r="AI32" s="7"/>
      <c r="AJ32" s="6">
        <v>0</v>
      </c>
      <c r="AK32" s="7"/>
      <c r="AL32" s="6">
        <v>0</v>
      </c>
      <c r="AM32" s="7"/>
      <c r="AN32" s="6">
        <v>0</v>
      </c>
      <c r="AO32" s="7"/>
      <c r="AP32" s="6">
        <v>100</v>
      </c>
      <c r="AQ32" s="7"/>
      <c r="AR32" s="6">
        <v>0</v>
      </c>
      <c r="AS32" s="7"/>
      <c r="AT32" s="6">
        <v>0</v>
      </c>
      <c r="AU32" s="7"/>
      <c r="AV32" s="6">
        <v>0</v>
      </c>
      <c r="AW32" s="7"/>
      <c r="AX32" s="6">
        <v>0</v>
      </c>
      <c r="AY32" s="7"/>
      <c r="AZ32" s="6">
        <v>0</v>
      </c>
      <c r="BA32" s="7"/>
      <c r="BB32" s="6">
        <v>0</v>
      </c>
      <c r="BC32" s="7"/>
      <c r="BD32" s="6">
        <f t="shared" si="4"/>
        <v>11103</v>
      </c>
      <c r="BE32" s="7"/>
      <c r="BF32" s="6">
        <f t="shared" si="5"/>
        <v>10358</v>
      </c>
    </row>
    <row r="33" spans="1:58" outlineLevel="2" x14ac:dyDescent="0.35">
      <c r="A33" s="2"/>
      <c r="B33" s="2"/>
      <c r="C33" s="2"/>
      <c r="D33" s="2"/>
      <c r="E33" s="2"/>
      <c r="F33" s="2" t="s">
        <v>47</v>
      </c>
      <c r="G33" s="2"/>
      <c r="H33" s="6">
        <v>188.85</v>
      </c>
      <c r="I33" s="7"/>
      <c r="J33" s="6">
        <v>116.27</v>
      </c>
      <c r="K33" s="7"/>
      <c r="L33" s="6">
        <v>341.43</v>
      </c>
      <c r="M33" s="7"/>
      <c r="N33" s="6">
        <v>16.27</v>
      </c>
      <c r="O33" s="7"/>
      <c r="P33" s="6">
        <v>181.85</v>
      </c>
      <c r="Q33" s="7"/>
      <c r="R33" s="6">
        <v>153.5</v>
      </c>
      <c r="S33" s="7"/>
      <c r="T33" s="6">
        <v>95.83</v>
      </c>
      <c r="U33" s="7"/>
      <c r="V33" s="6">
        <v>76.52</v>
      </c>
      <c r="W33" s="7"/>
      <c r="X33" s="6">
        <v>16.29</v>
      </c>
      <c r="Y33" s="7"/>
      <c r="Z33" s="6">
        <v>266.48</v>
      </c>
      <c r="AA33" s="7"/>
      <c r="AB33" s="6">
        <v>16.29</v>
      </c>
      <c r="AC33" s="7"/>
      <c r="AD33" s="6">
        <v>16.27</v>
      </c>
      <c r="AE33" s="7"/>
      <c r="AF33" s="6">
        <v>0</v>
      </c>
      <c r="AG33" s="7"/>
      <c r="AH33" s="6">
        <v>171.83</v>
      </c>
      <c r="AI33" s="7"/>
      <c r="AJ33" s="6">
        <v>0</v>
      </c>
      <c r="AK33" s="7"/>
      <c r="AL33" s="6">
        <v>16.29</v>
      </c>
      <c r="AM33" s="7"/>
      <c r="AN33" s="6">
        <v>0</v>
      </c>
      <c r="AO33" s="7"/>
      <c r="AP33" s="6">
        <v>73.89</v>
      </c>
      <c r="AQ33" s="7"/>
      <c r="AR33" s="6">
        <v>0</v>
      </c>
      <c r="AS33" s="7"/>
      <c r="AT33" s="6">
        <v>60.67</v>
      </c>
      <c r="AU33" s="7"/>
      <c r="AV33" s="6">
        <v>0</v>
      </c>
      <c r="AW33" s="7"/>
      <c r="AX33" s="6">
        <v>16.29</v>
      </c>
      <c r="AY33" s="7"/>
      <c r="AZ33" s="6">
        <v>0</v>
      </c>
      <c r="BA33" s="7"/>
      <c r="BB33" s="6">
        <v>387.18</v>
      </c>
      <c r="BC33" s="7"/>
      <c r="BD33" s="6">
        <f t="shared" si="4"/>
        <v>840.54</v>
      </c>
      <c r="BE33" s="7"/>
      <c r="BF33" s="6">
        <f t="shared" si="5"/>
        <v>1371.46</v>
      </c>
    </row>
    <row r="34" spans="1:58" outlineLevel="2" x14ac:dyDescent="0.35">
      <c r="A34" s="2"/>
      <c r="B34" s="2"/>
      <c r="C34" s="2"/>
      <c r="D34" s="2"/>
      <c r="E34" s="2"/>
      <c r="F34" s="2" t="s">
        <v>48</v>
      </c>
      <c r="G34" s="2"/>
      <c r="H34" s="6">
        <v>0</v>
      </c>
      <c r="I34" s="7"/>
      <c r="J34" s="6">
        <v>587.97</v>
      </c>
      <c r="K34" s="7"/>
      <c r="L34" s="6">
        <v>88.24</v>
      </c>
      <c r="M34" s="7"/>
      <c r="N34" s="6">
        <v>0</v>
      </c>
      <c r="O34" s="7"/>
      <c r="P34" s="6">
        <v>500</v>
      </c>
      <c r="Q34" s="7"/>
      <c r="R34" s="6">
        <v>500</v>
      </c>
      <c r="S34" s="7"/>
      <c r="T34" s="6">
        <v>0</v>
      </c>
      <c r="U34" s="7"/>
      <c r="V34" s="6">
        <v>87.97</v>
      </c>
      <c r="W34" s="7"/>
      <c r="X34" s="6">
        <v>588.24</v>
      </c>
      <c r="Y34" s="7"/>
      <c r="Z34" s="6">
        <v>88.16</v>
      </c>
      <c r="AA34" s="7"/>
      <c r="AB34" s="6">
        <v>0</v>
      </c>
      <c r="AC34" s="7"/>
      <c r="AD34" s="6">
        <v>500</v>
      </c>
      <c r="AE34" s="7"/>
      <c r="AF34" s="6">
        <v>0</v>
      </c>
      <c r="AG34" s="7"/>
      <c r="AH34" s="6">
        <v>0</v>
      </c>
      <c r="AI34" s="7"/>
      <c r="AJ34" s="6">
        <v>0</v>
      </c>
      <c r="AK34" s="7"/>
      <c r="AL34" s="6">
        <v>738.04</v>
      </c>
      <c r="AM34" s="7"/>
      <c r="AN34" s="6">
        <v>0</v>
      </c>
      <c r="AO34" s="7"/>
      <c r="AP34" s="6">
        <v>0</v>
      </c>
      <c r="AQ34" s="7"/>
      <c r="AR34" s="6">
        <v>0</v>
      </c>
      <c r="AS34" s="7"/>
      <c r="AT34" s="6">
        <v>500</v>
      </c>
      <c r="AU34" s="7"/>
      <c r="AV34" s="6">
        <v>0</v>
      </c>
      <c r="AW34" s="7"/>
      <c r="AX34" s="6">
        <v>88.24</v>
      </c>
      <c r="AY34" s="7"/>
      <c r="AZ34" s="6">
        <v>0</v>
      </c>
      <c r="BA34" s="7"/>
      <c r="BB34" s="6">
        <v>500</v>
      </c>
      <c r="BC34" s="7"/>
      <c r="BD34" s="6">
        <f t="shared" si="4"/>
        <v>1176.48</v>
      </c>
      <c r="BE34" s="7"/>
      <c r="BF34" s="6">
        <f t="shared" si="5"/>
        <v>3590.38</v>
      </c>
    </row>
    <row r="35" spans="1:58" outlineLevel="3" x14ac:dyDescent="0.35">
      <c r="A35" s="2"/>
      <c r="B35" s="2"/>
      <c r="C35" s="2"/>
      <c r="D35" s="2"/>
      <c r="E35" s="2"/>
      <c r="F35" s="2" t="s">
        <v>49</v>
      </c>
      <c r="G35" s="2"/>
      <c r="H35" s="6"/>
      <c r="I35" s="7"/>
      <c r="J35" s="6"/>
      <c r="K35" s="7"/>
      <c r="L35" s="6"/>
      <c r="M35" s="7"/>
      <c r="N35" s="6"/>
      <c r="O35" s="7"/>
      <c r="P35" s="6"/>
      <c r="Q35" s="7"/>
      <c r="R35" s="6"/>
      <c r="S35" s="7"/>
      <c r="T35" s="6"/>
      <c r="U35" s="7"/>
      <c r="V35" s="6"/>
      <c r="W35" s="7"/>
      <c r="X35" s="6"/>
      <c r="Y35" s="7"/>
      <c r="Z35" s="6"/>
      <c r="AA35" s="7"/>
      <c r="AB35" s="6"/>
      <c r="AC35" s="7"/>
      <c r="AD35" s="6"/>
      <c r="AE35" s="7"/>
      <c r="AF35" s="6"/>
      <c r="AG35" s="7"/>
      <c r="AH35" s="6"/>
      <c r="AI35" s="7"/>
      <c r="AJ35" s="6"/>
      <c r="AK35" s="7"/>
      <c r="AL35" s="6"/>
      <c r="AM35" s="7"/>
      <c r="AN35" s="6"/>
      <c r="AO35" s="7"/>
      <c r="AP35" s="6"/>
      <c r="AQ35" s="7"/>
      <c r="AR35" s="6"/>
      <c r="AS35" s="7"/>
      <c r="AT35" s="6"/>
      <c r="AU35" s="7"/>
      <c r="AV35" s="6"/>
      <c r="AW35" s="7"/>
      <c r="AX35" s="6"/>
      <c r="AY35" s="7"/>
      <c r="AZ35" s="6"/>
      <c r="BA35" s="7"/>
      <c r="BB35" s="6"/>
      <c r="BC35" s="7"/>
      <c r="BD35" s="6"/>
      <c r="BE35" s="7"/>
      <c r="BF35" s="6"/>
    </row>
    <row r="36" spans="1:58" ht="15" outlineLevel="3" thickBot="1" x14ac:dyDescent="0.4">
      <c r="A36" s="2"/>
      <c r="B36" s="2"/>
      <c r="C36" s="2"/>
      <c r="D36" s="2"/>
      <c r="E36" s="2"/>
      <c r="F36" s="2"/>
      <c r="G36" s="2" t="s">
        <v>50</v>
      </c>
      <c r="H36" s="6">
        <v>0</v>
      </c>
      <c r="I36" s="7"/>
      <c r="J36" s="6">
        <v>237.47</v>
      </c>
      <c r="K36" s="7"/>
      <c r="L36" s="6">
        <v>0</v>
      </c>
      <c r="M36" s="7"/>
      <c r="N36" s="6">
        <v>0</v>
      </c>
      <c r="O36" s="7"/>
      <c r="P36" s="6">
        <v>0</v>
      </c>
      <c r="Q36" s="7"/>
      <c r="R36" s="6">
        <v>0</v>
      </c>
      <c r="S36" s="7"/>
      <c r="T36" s="6">
        <v>11</v>
      </c>
      <c r="U36" s="7"/>
      <c r="V36" s="6">
        <v>0</v>
      </c>
      <c r="W36" s="7"/>
      <c r="X36" s="6">
        <v>42</v>
      </c>
      <c r="Y36" s="7"/>
      <c r="Z36" s="6">
        <v>42</v>
      </c>
      <c r="AA36" s="7"/>
      <c r="AB36" s="6">
        <v>0</v>
      </c>
      <c r="AC36" s="7"/>
      <c r="AD36" s="6">
        <v>110.1</v>
      </c>
      <c r="AE36" s="7"/>
      <c r="AF36" s="6">
        <v>0</v>
      </c>
      <c r="AG36" s="7"/>
      <c r="AH36" s="6">
        <v>0</v>
      </c>
      <c r="AI36" s="7"/>
      <c r="AJ36" s="6">
        <v>0</v>
      </c>
      <c r="AK36" s="7"/>
      <c r="AL36" s="6">
        <v>620</v>
      </c>
      <c r="AM36" s="7"/>
      <c r="AN36" s="6">
        <v>0</v>
      </c>
      <c r="AO36" s="7"/>
      <c r="AP36" s="6">
        <v>0</v>
      </c>
      <c r="AQ36" s="7"/>
      <c r="AR36" s="6">
        <v>0</v>
      </c>
      <c r="AS36" s="7"/>
      <c r="AT36" s="6">
        <v>0</v>
      </c>
      <c r="AU36" s="7"/>
      <c r="AV36" s="6">
        <v>0</v>
      </c>
      <c r="AW36" s="7"/>
      <c r="AX36" s="6">
        <v>0</v>
      </c>
      <c r="AY36" s="7"/>
      <c r="AZ36" s="6">
        <v>0</v>
      </c>
      <c r="BA36" s="7"/>
      <c r="BB36" s="6">
        <v>270</v>
      </c>
      <c r="BC36" s="7"/>
      <c r="BD36" s="6">
        <f>ROUND(H36+L36+P36+T36+X36+AB36+AF36+AJ36+AN36+AR36+AV36+AZ36,5)</f>
        <v>53</v>
      </c>
      <c r="BE36" s="7"/>
      <c r="BF36" s="6">
        <f>ROUND(J36+N36+R36+V36+Z36+AD36+AH36+AL36+AP36+AT36+AX36+BB36,5)</f>
        <v>1279.57</v>
      </c>
    </row>
    <row r="37" spans="1:58" ht="15" outlineLevel="2" thickBot="1" x14ac:dyDescent="0.4">
      <c r="A37" s="2"/>
      <c r="B37" s="2"/>
      <c r="C37" s="2"/>
      <c r="D37" s="2"/>
      <c r="E37" s="2"/>
      <c r="F37" s="2" t="s">
        <v>52</v>
      </c>
      <c r="G37" s="2"/>
      <c r="H37" s="11">
        <f>ROUND(SUM(H35:H36),5)</f>
        <v>0</v>
      </c>
      <c r="I37" s="7"/>
      <c r="J37" s="11">
        <f>ROUND(SUM(J35:J36),5)</f>
        <v>237.47</v>
      </c>
      <c r="K37" s="7"/>
      <c r="L37" s="11">
        <f>ROUND(SUM(L35:L36),5)</f>
        <v>0</v>
      </c>
      <c r="M37" s="7"/>
      <c r="N37" s="11">
        <f>ROUND(SUM(N35:N36),5)</f>
        <v>0</v>
      </c>
      <c r="O37" s="7"/>
      <c r="P37" s="11">
        <f>ROUND(SUM(P35:P36),5)</f>
        <v>0</v>
      </c>
      <c r="Q37" s="7"/>
      <c r="R37" s="11">
        <f>ROUND(SUM(R35:R36),5)</f>
        <v>0</v>
      </c>
      <c r="S37" s="7"/>
      <c r="T37" s="11">
        <f>ROUND(SUM(T35:T36),5)</f>
        <v>11</v>
      </c>
      <c r="U37" s="7"/>
      <c r="V37" s="11">
        <f>ROUND(SUM(V35:V36),5)</f>
        <v>0</v>
      </c>
      <c r="W37" s="7"/>
      <c r="X37" s="11">
        <f>ROUND(SUM(X35:X36),5)</f>
        <v>42</v>
      </c>
      <c r="Y37" s="7"/>
      <c r="Z37" s="11">
        <f>ROUND(SUM(Z35:Z36),5)</f>
        <v>42</v>
      </c>
      <c r="AA37" s="7"/>
      <c r="AB37" s="11">
        <f>ROUND(SUM(AB35:AB36),5)</f>
        <v>0</v>
      </c>
      <c r="AC37" s="7"/>
      <c r="AD37" s="11">
        <f>ROUND(SUM(AD35:AD36),5)</f>
        <v>110.1</v>
      </c>
      <c r="AE37" s="7"/>
      <c r="AF37" s="11">
        <f>ROUND(SUM(AF35:AF36),5)</f>
        <v>0</v>
      </c>
      <c r="AG37" s="7"/>
      <c r="AH37" s="11">
        <f>ROUND(SUM(AH35:AH36),5)</f>
        <v>0</v>
      </c>
      <c r="AI37" s="7"/>
      <c r="AJ37" s="11">
        <f>ROUND(SUM(AJ35:AJ36),5)</f>
        <v>0</v>
      </c>
      <c r="AK37" s="7"/>
      <c r="AL37" s="11">
        <f>ROUND(SUM(AL35:AL36),5)</f>
        <v>620</v>
      </c>
      <c r="AM37" s="7"/>
      <c r="AN37" s="11">
        <f>ROUND(SUM(AN35:AN36),5)</f>
        <v>0</v>
      </c>
      <c r="AO37" s="7"/>
      <c r="AP37" s="11">
        <f>ROUND(SUM(AP35:AP36),5)</f>
        <v>0</v>
      </c>
      <c r="AQ37" s="7"/>
      <c r="AR37" s="11">
        <f>ROUND(SUM(AR35:AR36),5)</f>
        <v>0</v>
      </c>
      <c r="AS37" s="7"/>
      <c r="AT37" s="11">
        <f>ROUND(SUM(AT35:AT36),5)</f>
        <v>0</v>
      </c>
      <c r="AU37" s="7"/>
      <c r="AV37" s="11">
        <f>ROUND(SUM(AV35:AV36),5)</f>
        <v>0</v>
      </c>
      <c r="AW37" s="7"/>
      <c r="AX37" s="11">
        <f>ROUND(SUM(AX35:AX36),5)</f>
        <v>0</v>
      </c>
      <c r="AY37" s="7"/>
      <c r="AZ37" s="11">
        <f>ROUND(SUM(AZ35:AZ36),5)</f>
        <v>0</v>
      </c>
      <c r="BA37" s="7"/>
      <c r="BB37" s="11">
        <f>ROUND(SUM(BB35:BB36),5)</f>
        <v>270</v>
      </c>
      <c r="BC37" s="7"/>
      <c r="BD37" s="11">
        <f>ROUND(H37+L37+P37+T37+X37+AB37+AF37+AJ37+AN37+AR37+AV37+AZ37,5)</f>
        <v>53</v>
      </c>
      <c r="BE37" s="7"/>
      <c r="BF37" s="11">
        <f>ROUND(J37+N37+R37+V37+Z37+AD37+AH37+AL37+AP37+AT37+AX37+BB37,5)</f>
        <v>1279.57</v>
      </c>
    </row>
    <row r="38" spans="1:58" outlineLevel="1" x14ac:dyDescent="0.35">
      <c r="A38" s="2"/>
      <c r="B38" s="2"/>
      <c r="C38" s="2"/>
      <c r="D38" s="2"/>
      <c r="E38" s="2" t="s">
        <v>53</v>
      </c>
      <c r="F38" s="2"/>
      <c r="G38" s="2"/>
      <c r="H38" s="6">
        <f>ROUND(SUM(H21:H22)+H27+SUM(H31:H34)+H37,5)</f>
        <v>3226.66</v>
      </c>
      <c r="I38" s="7"/>
      <c r="J38" s="6">
        <f>ROUND(SUM(J21:J22)+J27+SUM(J31:J34)+J37,5)</f>
        <v>2628.58</v>
      </c>
      <c r="K38" s="7"/>
      <c r="L38" s="6">
        <f>ROUND(SUM(L21:L22)+L27+SUM(L31:L34)+L37,5)</f>
        <v>4412.95</v>
      </c>
      <c r="M38" s="7"/>
      <c r="N38" s="6">
        <f>ROUND(SUM(N21:N22)+N27+SUM(N31:N34)+N37,5)</f>
        <v>2492.5500000000002</v>
      </c>
      <c r="O38" s="7"/>
      <c r="P38" s="6">
        <f>ROUND(SUM(P21:P22)+P27+SUM(P31:P34)+P37,5)</f>
        <v>2237.4299999999998</v>
      </c>
      <c r="Q38" s="7"/>
      <c r="R38" s="6">
        <f>ROUND(SUM(R21:R22)+R27+SUM(R31:R34)+R37,5)</f>
        <v>10244.84</v>
      </c>
      <c r="S38" s="7"/>
      <c r="T38" s="6">
        <f>ROUND(SUM(T21:T22)+T27+SUM(T31:T34)+T37,5)</f>
        <v>11430.86</v>
      </c>
      <c r="U38" s="7"/>
      <c r="V38" s="6">
        <f>ROUND(SUM(V21:V22)+V27+SUM(V31:V34)+V37,5)</f>
        <v>2718.75</v>
      </c>
      <c r="W38" s="7"/>
      <c r="X38" s="6">
        <f>ROUND(SUM(X21:X22)+X27+SUM(X31:X34)+X37,5)</f>
        <v>5329.57</v>
      </c>
      <c r="Y38" s="7"/>
      <c r="Z38" s="6">
        <f>ROUND(SUM(Z21:Z22)+Z27+SUM(Z31:Z34)+Z37,5)</f>
        <v>950.58</v>
      </c>
      <c r="AA38" s="7"/>
      <c r="AB38" s="6">
        <f>ROUND(SUM(AB21:AB22)+AB27+SUM(AB31:AB34)+AB37,5)</f>
        <v>742.1</v>
      </c>
      <c r="AC38" s="7"/>
      <c r="AD38" s="6">
        <f>ROUND(SUM(AD21:AD22)+AD27+SUM(AD31:AD34)+AD37,5)</f>
        <v>3094.04</v>
      </c>
      <c r="AE38" s="7"/>
      <c r="AF38" s="6">
        <f>ROUND(SUM(AF21:AF22)+AF27+SUM(AF31:AF34)+AF37,5)</f>
        <v>526.07000000000005</v>
      </c>
      <c r="AG38" s="7"/>
      <c r="AH38" s="6">
        <f>ROUND(SUM(AH21:AH22)+AH27+SUM(AH31:AH34)+AH37,5)</f>
        <v>1544.88</v>
      </c>
      <c r="AI38" s="7"/>
      <c r="AJ38" s="6">
        <f>ROUND(SUM(AJ21:AJ22)+AJ27+SUM(AJ31:AJ34)+AJ37,5)</f>
        <v>0</v>
      </c>
      <c r="AK38" s="7"/>
      <c r="AL38" s="6">
        <f>ROUND(SUM(AL21:AL22)+AL27+SUM(AL31:AL34)+AL37,5)</f>
        <v>2390.94</v>
      </c>
      <c r="AM38" s="7"/>
      <c r="AN38" s="6">
        <f>ROUND(SUM(AN21:AN22)+AN27+SUM(AN31:AN34)+AN37,5)</f>
        <v>0</v>
      </c>
      <c r="AO38" s="7"/>
      <c r="AP38" s="6">
        <f>ROUND(SUM(AP21:AP22)+AP27+SUM(AP31:AP34)+AP37,5)</f>
        <v>1067.77</v>
      </c>
      <c r="AQ38" s="7"/>
      <c r="AR38" s="6">
        <f>ROUND(SUM(AR21:AR22)+AR27+SUM(AR31:AR34)+AR37,5)</f>
        <v>0</v>
      </c>
      <c r="AS38" s="7"/>
      <c r="AT38" s="6">
        <f>ROUND(SUM(AT21:AT22)+AT27+SUM(AT31:AT34)+AT37,5)</f>
        <v>2168.75</v>
      </c>
      <c r="AU38" s="7"/>
      <c r="AV38" s="6">
        <f>ROUND(SUM(AV21:AV22)+AV27+SUM(AV31:AV34)+AV37,5)</f>
        <v>0</v>
      </c>
      <c r="AW38" s="7"/>
      <c r="AX38" s="6">
        <f>ROUND(SUM(AX21:AX22)+AX27+SUM(AX31:AX34)+AX37,5)</f>
        <v>2225.2399999999998</v>
      </c>
      <c r="AY38" s="7"/>
      <c r="AZ38" s="6">
        <f>ROUND(SUM(AZ21:AZ22)+AZ27+SUM(AZ31:AZ34)+AZ37,5)</f>
        <v>0</v>
      </c>
      <c r="BA38" s="7"/>
      <c r="BB38" s="6">
        <f>ROUND(SUM(BB21:BB22)+BB27+SUM(BB31:BB34)+BB37,5)</f>
        <v>1828.46</v>
      </c>
      <c r="BC38" s="7"/>
      <c r="BD38" s="6">
        <f>ROUND(H38+L38+P38+T38+X38+AB38+AF38+AJ38+AN38+AR38+AV38+AZ38,5)</f>
        <v>27905.64</v>
      </c>
      <c r="BE38" s="7"/>
      <c r="BF38" s="6">
        <f>ROUND(J38+N38+R38+V38+Z38+AD38+AH38+AL38+AP38+AT38+AX38+BB38,5)</f>
        <v>33355.379999999997</v>
      </c>
    </row>
    <row r="39" spans="1:58" outlineLevel="2" x14ac:dyDescent="0.35">
      <c r="A39" s="2"/>
      <c r="B39" s="2"/>
      <c r="C39" s="2"/>
      <c r="D39" s="2"/>
      <c r="E39" s="2" t="s">
        <v>54</v>
      </c>
      <c r="F39" s="2"/>
      <c r="G39" s="2"/>
      <c r="H39" s="6"/>
      <c r="I39" s="7"/>
      <c r="J39" s="6"/>
      <c r="K39" s="7"/>
      <c r="L39" s="6"/>
      <c r="M39" s="7"/>
      <c r="N39" s="6"/>
      <c r="O39" s="7"/>
      <c r="P39" s="6"/>
      <c r="Q39" s="7"/>
      <c r="R39" s="6"/>
      <c r="S39" s="7"/>
      <c r="T39" s="6"/>
      <c r="U39" s="7"/>
      <c r="V39" s="6"/>
      <c r="W39" s="7"/>
      <c r="X39" s="6"/>
      <c r="Y39" s="7"/>
      <c r="Z39" s="6"/>
      <c r="AA39" s="7"/>
      <c r="AB39" s="6"/>
      <c r="AC39" s="7"/>
      <c r="AD39" s="6"/>
      <c r="AE39" s="7"/>
      <c r="AF39" s="6"/>
      <c r="AG39" s="7"/>
      <c r="AH39" s="6"/>
      <c r="AI39" s="7"/>
      <c r="AJ39" s="6"/>
      <c r="AK39" s="7"/>
      <c r="AL39" s="6"/>
      <c r="AM39" s="7"/>
      <c r="AN39" s="6"/>
      <c r="AO39" s="7"/>
      <c r="AP39" s="6"/>
      <c r="AQ39" s="7"/>
      <c r="AR39" s="6"/>
      <c r="AS39" s="7"/>
      <c r="AT39" s="6"/>
      <c r="AU39" s="7"/>
      <c r="AV39" s="6"/>
      <c r="AW39" s="7"/>
      <c r="AX39" s="6"/>
      <c r="AY39" s="7"/>
      <c r="AZ39" s="6"/>
      <c r="BA39" s="7"/>
      <c r="BB39" s="6"/>
      <c r="BC39" s="7"/>
      <c r="BD39" s="6"/>
      <c r="BE39" s="7"/>
      <c r="BF39" s="6"/>
    </row>
    <row r="40" spans="1:58" outlineLevel="2" x14ac:dyDescent="0.35">
      <c r="A40" s="2"/>
      <c r="B40" s="2"/>
      <c r="C40" s="2"/>
      <c r="D40" s="2"/>
      <c r="E40" s="2"/>
      <c r="F40" s="2" t="s">
        <v>55</v>
      </c>
      <c r="G40" s="2"/>
      <c r="H40" s="6">
        <v>0</v>
      </c>
      <c r="I40" s="7"/>
      <c r="J40" s="6">
        <v>0</v>
      </c>
      <c r="K40" s="7"/>
      <c r="L40" s="6">
        <v>0</v>
      </c>
      <c r="M40" s="7"/>
      <c r="N40" s="6">
        <v>0</v>
      </c>
      <c r="O40" s="7"/>
      <c r="P40" s="6">
        <v>0</v>
      </c>
      <c r="Q40" s="7"/>
      <c r="R40" s="6">
        <v>757.23</v>
      </c>
      <c r="S40" s="7"/>
      <c r="T40" s="6">
        <v>0</v>
      </c>
      <c r="U40" s="7"/>
      <c r="V40" s="6">
        <v>0</v>
      </c>
      <c r="W40" s="7"/>
      <c r="X40" s="6">
        <v>0</v>
      </c>
      <c r="Y40" s="7"/>
      <c r="Z40" s="6">
        <v>0</v>
      </c>
      <c r="AA40" s="7"/>
      <c r="AB40" s="6">
        <v>0</v>
      </c>
      <c r="AC40" s="7"/>
      <c r="AD40" s="6">
        <v>0</v>
      </c>
      <c r="AE40" s="7"/>
      <c r="AF40" s="6">
        <v>0</v>
      </c>
      <c r="AG40" s="7"/>
      <c r="AH40" s="6">
        <v>0</v>
      </c>
      <c r="AI40" s="7"/>
      <c r="AJ40" s="6">
        <v>0</v>
      </c>
      <c r="AK40" s="7"/>
      <c r="AL40" s="6">
        <v>1740</v>
      </c>
      <c r="AM40" s="7"/>
      <c r="AN40" s="6">
        <v>0</v>
      </c>
      <c r="AO40" s="7"/>
      <c r="AP40" s="6">
        <v>0</v>
      </c>
      <c r="AQ40" s="7"/>
      <c r="AR40" s="6">
        <v>0</v>
      </c>
      <c r="AS40" s="7"/>
      <c r="AT40" s="6">
        <v>0</v>
      </c>
      <c r="AU40" s="7"/>
      <c r="AV40" s="6">
        <v>0</v>
      </c>
      <c r="AW40" s="7"/>
      <c r="AX40" s="6">
        <v>0</v>
      </c>
      <c r="AY40" s="7"/>
      <c r="AZ40" s="6">
        <v>0</v>
      </c>
      <c r="BA40" s="7"/>
      <c r="BB40" s="6">
        <v>0</v>
      </c>
      <c r="BC40" s="7"/>
      <c r="BD40" s="6">
        <f>ROUND(H40+L40+P40+T40+X40+AB40+AF40+AJ40+AN40+AR40+AV40+AZ40,5)</f>
        <v>0</v>
      </c>
      <c r="BE40" s="7"/>
      <c r="BF40" s="6">
        <f>ROUND(J40+N40+R40+V40+Z40+AD40+AH40+AL40+AP40+AT40+AX40+BB40,5)</f>
        <v>2497.23</v>
      </c>
    </row>
    <row r="41" spans="1:58" outlineLevel="2" x14ac:dyDescent="0.35">
      <c r="A41" s="2"/>
      <c r="B41" s="2"/>
      <c r="C41" s="2"/>
      <c r="D41" s="2"/>
      <c r="E41" s="2"/>
      <c r="F41" s="2" t="s">
        <v>56</v>
      </c>
      <c r="G41" s="2"/>
      <c r="H41" s="6">
        <v>454.4</v>
      </c>
      <c r="I41" s="7"/>
      <c r="J41" s="6">
        <v>320</v>
      </c>
      <c r="K41" s="7"/>
      <c r="L41" s="6">
        <v>269.8</v>
      </c>
      <c r="M41" s="7"/>
      <c r="N41" s="6">
        <v>155.5</v>
      </c>
      <c r="O41" s="7"/>
      <c r="P41" s="6">
        <v>292.47000000000003</v>
      </c>
      <c r="Q41" s="7"/>
      <c r="R41" s="6">
        <v>665.75</v>
      </c>
      <c r="S41" s="7"/>
      <c r="T41" s="6">
        <v>229</v>
      </c>
      <c r="U41" s="7"/>
      <c r="V41" s="6">
        <v>107</v>
      </c>
      <c r="W41" s="7"/>
      <c r="X41" s="6">
        <v>328.8</v>
      </c>
      <c r="Y41" s="7"/>
      <c r="Z41" s="6">
        <v>77</v>
      </c>
      <c r="AA41" s="7"/>
      <c r="AB41" s="6">
        <v>492</v>
      </c>
      <c r="AC41" s="7"/>
      <c r="AD41" s="6">
        <v>244.8</v>
      </c>
      <c r="AE41" s="7"/>
      <c r="AF41" s="6">
        <v>50</v>
      </c>
      <c r="AG41" s="7"/>
      <c r="AH41" s="6">
        <v>77</v>
      </c>
      <c r="AI41" s="7"/>
      <c r="AJ41" s="6">
        <v>0</v>
      </c>
      <c r="AK41" s="7"/>
      <c r="AL41" s="6">
        <v>77</v>
      </c>
      <c r="AM41" s="7"/>
      <c r="AN41" s="6">
        <v>0</v>
      </c>
      <c r="AO41" s="7"/>
      <c r="AP41" s="6">
        <v>273.8</v>
      </c>
      <c r="AQ41" s="7"/>
      <c r="AR41" s="6">
        <v>0</v>
      </c>
      <c r="AS41" s="7"/>
      <c r="AT41" s="6">
        <v>77</v>
      </c>
      <c r="AU41" s="7"/>
      <c r="AV41" s="6">
        <v>0</v>
      </c>
      <c r="AW41" s="7"/>
      <c r="AX41" s="6">
        <v>244.8</v>
      </c>
      <c r="AY41" s="7"/>
      <c r="AZ41" s="6">
        <v>0</v>
      </c>
      <c r="BA41" s="7"/>
      <c r="BB41" s="6">
        <v>106</v>
      </c>
      <c r="BC41" s="7"/>
      <c r="BD41" s="6">
        <f>ROUND(H41+L41+P41+T41+X41+AB41+AF41+AJ41+AN41+AR41+AV41+AZ41,5)</f>
        <v>2116.4699999999998</v>
      </c>
      <c r="BE41" s="7"/>
      <c r="BF41" s="6">
        <f>ROUND(J41+N41+R41+V41+Z41+AD41+AH41+AL41+AP41+AT41+AX41+BB41,5)</f>
        <v>2425.65</v>
      </c>
    </row>
    <row r="42" spans="1:58" outlineLevel="3" x14ac:dyDescent="0.35">
      <c r="A42" s="2"/>
      <c r="B42" s="2"/>
      <c r="C42" s="2"/>
      <c r="D42" s="2"/>
      <c r="E42" s="2"/>
      <c r="F42" s="2" t="s">
        <v>57</v>
      </c>
      <c r="G42" s="2"/>
      <c r="H42" s="6"/>
      <c r="I42" s="7"/>
      <c r="J42" s="6"/>
      <c r="K42" s="7"/>
      <c r="L42" s="6"/>
      <c r="M42" s="7"/>
      <c r="N42" s="6"/>
      <c r="O42" s="7"/>
      <c r="P42" s="6"/>
      <c r="Q42" s="7"/>
      <c r="R42" s="6"/>
      <c r="S42" s="7"/>
      <c r="T42" s="6"/>
      <c r="U42" s="7"/>
      <c r="V42" s="6"/>
      <c r="W42" s="7"/>
      <c r="X42" s="6"/>
      <c r="Y42" s="7"/>
      <c r="Z42" s="6"/>
      <c r="AA42" s="7"/>
      <c r="AB42" s="6"/>
      <c r="AC42" s="7"/>
      <c r="AD42" s="6"/>
      <c r="AE42" s="7"/>
      <c r="AF42" s="6"/>
      <c r="AG42" s="7"/>
      <c r="AH42" s="6"/>
      <c r="AI42" s="7"/>
      <c r="AJ42" s="6"/>
      <c r="AK42" s="7"/>
      <c r="AL42" s="6"/>
      <c r="AM42" s="7"/>
      <c r="AN42" s="6"/>
      <c r="AO42" s="7"/>
      <c r="AP42" s="6"/>
      <c r="AQ42" s="7"/>
      <c r="AR42" s="6"/>
      <c r="AS42" s="7"/>
      <c r="AT42" s="6"/>
      <c r="AU42" s="7"/>
      <c r="AV42" s="6"/>
      <c r="AW42" s="7"/>
      <c r="AX42" s="6"/>
      <c r="AY42" s="7"/>
      <c r="AZ42" s="6"/>
      <c r="BA42" s="7"/>
      <c r="BB42" s="6"/>
      <c r="BC42" s="7"/>
      <c r="BD42" s="6"/>
      <c r="BE42" s="7"/>
      <c r="BF42" s="6"/>
    </row>
    <row r="43" spans="1:58" outlineLevel="3" x14ac:dyDescent="0.35">
      <c r="A43" s="2"/>
      <c r="B43" s="2"/>
      <c r="C43" s="2"/>
      <c r="D43" s="2"/>
      <c r="E43" s="2"/>
      <c r="F43" s="2"/>
      <c r="G43" s="2" t="s">
        <v>58</v>
      </c>
      <c r="H43" s="6">
        <v>731.04</v>
      </c>
      <c r="I43" s="7"/>
      <c r="J43" s="6">
        <v>1897.14</v>
      </c>
      <c r="K43" s="7"/>
      <c r="L43" s="6">
        <v>794.65</v>
      </c>
      <c r="M43" s="7"/>
      <c r="N43" s="6">
        <v>1378.72</v>
      </c>
      <c r="O43" s="7"/>
      <c r="P43" s="6">
        <v>2669.01</v>
      </c>
      <c r="Q43" s="7"/>
      <c r="R43" s="6">
        <v>1322.6</v>
      </c>
      <c r="S43" s="7"/>
      <c r="T43" s="6">
        <v>883.67</v>
      </c>
      <c r="U43" s="7"/>
      <c r="V43" s="6">
        <v>707.5</v>
      </c>
      <c r="W43" s="7"/>
      <c r="X43" s="6">
        <v>1009.72</v>
      </c>
      <c r="Y43" s="7"/>
      <c r="Z43" s="6">
        <v>807.73</v>
      </c>
      <c r="AA43" s="7"/>
      <c r="AB43" s="6">
        <v>1113.24</v>
      </c>
      <c r="AC43" s="7"/>
      <c r="AD43" s="6">
        <v>1075.3800000000001</v>
      </c>
      <c r="AE43" s="7"/>
      <c r="AF43" s="6">
        <v>0</v>
      </c>
      <c r="AG43" s="7"/>
      <c r="AH43" s="6">
        <v>1043.1600000000001</v>
      </c>
      <c r="AI43" s="7"/>
      <c r="AJ43" s="6">
        <v>0</v>
      </c>
      <c r="AK43" s="7"/>
      <c r="AL43" s="6">
        <v>1151.54</v>
      </c>
      <c r="AM43" s="7"/>
      <c r="AN43" s="6">
        <v>0</v>
      </c>
      <c r="AO43" s="7"/>
      <c r="AP43" s="6">
        <v>1144.8900000000001</v>
      </c>
      <c r="AQ43" s="7"/>
      <c r="AR43" s="6">
        <v>0</v>
      </c>
      <c r="AS43" s="7"/>
      <c r="AT43" s="6">
        <v>919.38</v>
      </c>
      <c r="AU43" s="7"/>
      <c r="AV43" s="6">
        <v>0</v>
      </c>
      <c r="AW43" s="7"/>
      <c r="AX43" s="6">
        <v>867.72</v>
      </c>
      <c r="AY43" s="7"/>
      <c r="AZ43" s="6">
        <v>0</v>
      </c>
      <c r="BA43" s="7"/>
      <c r="BB43" s="6">
        <v>1251.94</v>
      </c>
      <c r="BC43" s="7"/>
      <c r="BD43" s="6">
        <f>ROUND(H43+L43+P43+T43+X43+AB43+AF43+AJ43+AN43+AR43+AV43+AZ43,5)</f>
        <v>7201.33</v>
      </c>
      <c r="BE43" s="7"/>
      <c r="BF43" s="6">
        <f>ROUND(J43+N43+R43+V43+Z43+AD43+AH43+AL43+AP43+AT43+AX43+BB43,5)</f>
        <v>13567.7</v>
      </c>
    </row>
    <row r="44" spans="1:58" ht="15" outlineLevel="3" thickBot="1" x14ac:dyDescent="0.4">
      <c r="A44" s="2"/>
      <c r="B44" s="2"/>
      <c r="C44" s="2"/>
      <c r="D44" s="2"/>
      <c r="E44" s="2"/>
      <c r="F44" s="2"/>
      <c r="G44" s="2" t="s">
        <v>59</v>
      </c>
      <c r="H44" s="9">
        <v>0</v>
      </c>
      <c r="I44" s="7"/>
      <c r="J44" s="9">
        <v>0</v>
      </c>
      <c r="K44" s="7"/>
      <c r="L44" s="9">
        <v>0</v>
      </c>
      <c r="M44" s="7"/>
      <c r="N44" s="9">
        <v>0</v>
      </c>
      <c r="O44" s="7"/>
      <c r="P44" s="9">
        <v>0</v>
      </c>
      <c r="Q44" s="7"/>
      <c r="R44" s="9">
        <v>10</v>
      </c>
      <c r="S44" s="7"/>
      <c r="T44" s="9">
        <v>0</v>
      </c>
      <c r="U44" s="7"/>
      <c r="V44" s="9">
        <v>266.51</v>
      </c>
      <c r="W44" s="7"/>
      <c r="X44" s="9">
        <v>0</v>
      </c>
      <c r="Y44" s="7"/>
      <c r="Z44" s="9">
        <v>0</v>
      </c>
      <c r="AA44" s="7"/>
      <c r="AB44" s="9">
        <v>0</v>
      </c>
      <c r="AC44" s="7"/>
      <c r="AD44" s="9">
        <v>0</v>
      </c>
      <c r="AE44" s="7"/>
      <c r="AF44" s="9">
        <v>0</v>
      </c>
      <c r="AG44" s="7"/>
      <c r="AH44" s="9">
        <v>0</v>
      </c>
      <c r="AI44" s="7"/>
      <c r="AJ44" s="9">
        <v>0</v>
      </c>
      <c r="AK44" s="7"/>
      <c r="AL44" s="9">
        <v>0</v>
      </c>
      <c r="AM44" s="7"/>
      <c r="AN44" s="9">
        <v>0</v>
      </c>
      <c r="AO44" s="7"/>
      <c r="AP44" s="9">
        <v>315.77999999999997</v>
      </c>
      <c r="AQ44" s="7"/>
      <c r="AR44" s="9">
        <v>0</v>
      </c>
      <c r="AS44" s="7"/>
      <c r="AT44" s="9">
        <v>0</v>
      </c>
      <c r="AU44" s="7"/>
      <c r="AV44" s="9">
        <v>0</v>
      </c>
      <c r="AW44" s="7"/>
      <c r="AX44" s="9">
        <v>0</v>
      </c>
      <c r="AY44" s="7"/>
      <c r="AZ44" s="9">
        <v>0</v>
      </c>
      <c r="BA44" s="7"/>
      <c r="BB44" s="9">
        <v>0</v>
      </c>
      <c r="BC44" s="7"/>
      <c r="BD44" s="9">
        <f>ROUND(H44+L44+P44+T44+X44+AB44+AF44+AJ44+AN44+AR44+AV44+AZ44,5)</f>
        <v>0</v>
      </c>
      <c r="BE44" s="7"/>
      <c r="BF44" s="9">
        <f>ROUND(J44+N44+R44+V44+Z44+AD44+AH44+AL44+AP44+AT44+AX44+BB44,5)</f>
        <v>592.29</v>
      </c>
    </row>
    <row r="45" spans="1:58" outlineLevel="2" x14ac:dyDescent="0.35">
      <c r="A45" s="2"/>
      <c r="B45" s="2"/>
      <c r="C45" s="2"/>
      <c r="D45" s="2"/>
      <c r="E45" s="2"/>
      <c r="F45" s="2" t="s">
        <v>61</v>
      </c>
      <c r="G45" s="2"/>
      <c r="H45" s="6">
        <f>ROUND(SUM(H42:H44),5)</f>
        <v>731.04</v>
      </c>
      <c r="I45" s="7"/>
      <c r="J45" s="6">
        <f>ROUND(SUM(J42:J44),5)</f>
        <v>1897.14</v>
      </c>
      <c r="K45" s="7"/>
      <c r="L45" s="6">
        <f>ROUND(SUM(L42:L44),5)</f>
        <v>794.65</v>
      </c>
      <c r="M45" s="7"/>
      <c r="N45" s="6">
        <f>ROUND(SUM(N42:N44),5)</f>
        <v>1378.72</v>
      </c>
      <c r="O45" s="7"/>
      <c r="P45" s="6">
        <f>ROUND(SUM(P42:P44),5)</f>
        <v>2669.01</v>
      </c>
      <c r="Q45" s="7"/>
      <c r="R45" s="6">
        <f>ROUND(SUM(R42:R44),5)</f>
        <v>1332.6</v>
      </c>
      <c r="S45" s="7"/>
      <c r="T45" s="6">
        <f>ROUND(SUM(T42:T44),5)</f>
        <v>883.67</v>
      </c>
      <c r="U45" s="7"/>
      <c r="V45" s="6">
        <f>ROUND(SUM(V42:V44),5)</f>
        <v>974.01</v>
      </c>
      <c r="W45" s="7"/>
      <c r="X45" s="6">
        <f>ROUND(SUM(X42:X44),5)</f>
        <v>1009.72</v>
      </c>
      <c r="Y45" s="7"/>
      <c r="Z45" s="6">
        <f>ROUND(SUM(Z42:Z44),5)</f>
        <v>807.73</v>
      </c>
      <c r="AA45" s="7"/>
      <c r="AB45" s="6">
        <f>ROUND(SUM(AB42:AB44),5)</f>
        <v>1113.24</v>
      </c>
      <c r="AC45" s="7"/>
      <c r="AD45" s="6">
        <f>ROUND(SUM(AD42:AD44),5)</f>
        <v>1075.3800000000001</v>
      </c>
      <c r="AE45" s="7"/>
      <c r="AF45" s="6">
        <f>ROUND(SUM(AF42:AF44),5)</f>
        <v>0</v>
      </c>
      <c r="AG45" s="7"/>
      <c r="AH45" s="6">
        <f>ROUND(SUM(AH42:AH44),5)</f>
        <v>1043.1600000000001</v>
      </c>
      <c r="AI45" s="7"/>
      <c r="AJ45" s="6">
        <f>ROUND(SUM(AJ42:AJ44),5)</f>
        <v>0</v>
      </c>
      <c r="AK45" s="7"/>
      <c r="AL45" s="6">
        <f>ROUND(SUM(AL42:AL44),5)</f>
        <v>1151.54</v>
      </c>
      <c r="AM45" s="7"/>
      <c r="AN45" s="6">
        <f>ROUND(SUM(AN42:AN44),5)</f>
        <v>0</v>
      </c>
      <c r="AO45" s="7"/>
      <c r="AP45" s="6">
        <f>ROUND(SUM(AP42:AP44),5)</f>
        <v>1460.67</v>
      </c>
      <c r="AQ45" s="7"/>
      <c r="AR45" s="6">
        <f>ROUND(SUM(AR42:AR44),5)</f>
        <v>0</v>
      </c>
      <c r="AS45" s="7"/>
      <c r="AT45" s="6">
        <f>ROUND(SUM(AT42:AT44),5)</f>
        <v>919.38</v>
      </c>
      <c r="AU45" s="7"/>
      <c r="AV45" s="6">
        <f>ROUND(SUM(AV42:AV44),5)</f>
        <v>0</v>
      </c>
      <c r="AW45" s="7"/>
      <c r="AX45" s="6">
        <f>ROUND(SUM(AX42:AX44),5)</f>
        <v>867.72</v>
      </c>
      <c r="AY45" s="7"/>
      <c r="AZ45" s="6">
        <f>ROUND(SUM(AZ42:AZ44),5)</f>
        <v>0</v>
      </c>
      <c r="BA45" s="7"/>
      <c r="BB45" s="6">
        <f>ROUND(SUM(BB42:BB44),5)</f>
        <v>1251.94</v>
      </c>
      <c r="BC45" s="7"/>
      <c r="BD45" s="6">
        <f>ROUND(H45+L45+P45+T45+X45+AB45+AF45+AJ45+AN45+AR45+AV45+AZ45,5)</f>
        <v>7201.33</v>
      </c>
      <c r="BE45" s="7"/>
      <c r="BF45" s="6">
        <f>ROUND(J45+N45+R45+V45+Z45+AD45+AH45+AL45+AP45+AT45+AX45+BB45,5)</f>
        <v>14159.99</v>
      </c>
    </row>
    <row r="46" spans="1:58" outlineLevel="2" x14ac:dyDescent="0.35">
      <c r="A46" s="2"/>
      <c r="B46" s="2"/>
      <c r="C46" s="2"/>
      <c r="D46" s="2"/>
      <c r="E46" s="2"/>
      <c r="F46" s="2" t="s">
        <v>62</v>
      </c>
      <c r="G46" s="2"/>
      <c r="H46" s="6">
        <v>0</v>
      </c>
      <c r="I46" s="7"/>
      <c r="J46" s="6">
        <v>287.91000000000003</v>
      </c>
      <c r="K46" s="7"/>
      <c r="L46" s="6">
        <v>283.89</v>
      </c>
      <c r="M46" s="7"/>
      <c r="N46" s="6">
        <v>287.91000000000003</v>
      </c>
      <c r="O46" s="7"/>
      <c r="P46" s="6">
        <v>0</v>
      </c>
      <c r="Q46" s="7"/>
      <c r="R46" s="6">
        <v>232.32</v>
      </c>
      <c r="S46" s="7"/>
      <c r="T46" s="6">
        <v>0</v>
      </c>
      <c r="U46" s="7"/>
      <c r="V46" s="6">
        <v>0</v>
      </c>
      <c r="W46" s="7"/>
      <c r="X46" s="6">
        <v>0</v>
      </c>
      <c r="Y46" s="7"/>
      <c r="Z46" s="6">
        <v>0</v>
      </c>
      <c r="AA46" s="7"/>
      <c r="AB46" s="6">
        <v>437.69</v>
      </c>
      <c r="AC46" s="7"/>
      <c r="AD46" s="6">
        <v>0</v>
      </c>
      <c r="AE46" s="7"/>
      <c r="AF46" s="6">
        <v>0</v>
      </c>
      <c r="AG46" s="7"/>
      <c r="AH46" s="6">
        <v>0</v>
      </c>
      <c r="AI46" s="7"/>
      <c r="AJ46" s="6">
        <v>0</v>
      </c>
      <c r="AK46" s="7"/>
      <c r="AL46" s="6">
        <v>303.51</v>
      </c>
      <c r="AM46" s="7"/>
      <c r="AN46" s="6">
        <v>0</v>
      </c>
      <c r="AO46" s="7"/>
      <c r="AP46" s="6">
        <v>0</v>
      </c>
      <c r="AQ46" s="7"/>
      <c r="AR46" s="6">
        <v>0</v>
      </c>
      <c r="AS46" s="7"/>
      <c r="AT46" s="6">
        <v>0</v>
      </c>
      <c r="AU46" s="7"/>
      <c r="AV46" s="6">
        <v>0</v>
      </c>
      <c r="AW46" s="7"/>
      <c r="AX46" s="6">
        <v>0</v>
      </c>
      <c r="AY46" s="7"/>
      <c r="AZ46" s="6">
        <v>0</v>
      </c>
      <c r="BA46" s="7"/>
      <c r="BB46" s="6">
        <v>679.05</v>
      </c>
      <c r="BC46" s="7"/>
      <c r="BD46" s="6">
        <f>ROUND(H46+L46+P46+T46+X46+AB46+AF46+AJ46+AN46+AR46+AV46+AZ46,5)</f>
        <v>721.58</v>
      </c>
      <c r="BE46" s="7"/>
      <c r="BF46" s="6">
        <f>ROUND(J46+N46+R46+V46+Z46+AD46+AH46+AL46+AP46+AT46+AX46+BB46,5)</f>
        <v>1790.7</v>
      </c>
    </row>
    <row r="47" spans="1:58" outlineLevel="3" x14ac:dyDescent="0.35">
      <c r="A47" s="2"/>
      <c r="B47" s="2"/>
      <c r="C47" s="2"/>
      <c r="D47" s="2"/>
      <c r="E47" s="2"/>
      <c r="F47" s="2" t="s">
        <v>63</v>
      </c>
      <c r="G47" s="2"/>
      <c r="H47" s="6"/>
      <c r="I47" s="7"/>
      <c r="J47" s="6"/>
      <c r="K47" s="7"/>
      <c r="L47" s="6"/>
      <c r="M47" s="7"/>
      <c r="N47" s="6"/>
      <c r="O47" s="7"/>
      <c r="P47" s="6"/>
      <c r="Q47" s="7"/>
      <c r="R47" s="6"/>
      <c r="S47" s="7"/>
      <c r="T47" s="6"/>
      <c r="U47" s="7"/>
      <c r="V47" s="6"/>
      <c r="W47" s="7"/>
      <c r="X47" s="6"/>
      <c r="Y47" s="7"/>
      <c r="Z47" s="6"/>
      <c r="AA47" s="7"/>
      <c r="AB47" s="6"/>
      <c r="AC47" s="7"/>
      <c r="AD47" s="6"/>
      <c r="AE47" s="7"/>
      <c r="AF47" s="6"/>
      <c r="AG47" s="7"/>
      <c r="AH47" s="6"/>
      <c r="AI47" s="7"/>
      <c r="AJ47" s="6"/>
      <c r="AK47" s="7"/>
      <c r="AL47" s="6"/>
      <c r="AM47" s="7"/>
      <c r="AN47" s="6"/>
      <c r="AO47" s="7"/>
      <c r="AP47" s="6"/>
      <c r="AQ47" s="7"/>
      <c r="AR47" s="6"/>
      <c r="AS47" s="7"/>
      <c r="AT47" s="6"/>
      <c r="AU47" s="7"/>
      <c r="AV47" s="6"/>
      <c r="AW47" s="7"/>
      <c r="AX47" s="6"/>
      <c r="AY47" s="7"/>
      <c r="AZ47" s="6"/>
      <c r="BA47" s="7"/>
      <c r="BB47" s="6"/>
      <c r="BC47" s="7"/>
      <c r="BD47" s="6"/>
      <c r="BE47" s="7"/>
      <c r="BF47" s="6"/>
    </row>
    <row r="48" spans="1:58" outlineLevel="3" x14ac:dyDescent="0.35">
      <c r="A48" s="2"/>
      <c r="B48" s="2"/>
      <c r="C48" s="2"/>
      <c r="D48" s="2"/>
      <c r="E48" s="2"/>
      <c r="F48" s="2"/>
      <c r="G48" s="2" t="s">
        <v>64</v>
      </c>
      <c r="H48" s="6">
        <v>1262.3599999999999</v>
      </c>
      <c r="I48" s="7"/>
      <c r="J48" s="6">
        <v>134.47</v>
      </c>
      <c r="K48" s="7"/>
      <c r="L48" s="6">
        <v>29.35</v>
      </c>
      <c r="M48" s="7"/>
      <c r="N48" s="6">
        <v>0</v>
      </c>
      <c r="O48" s="7"/>
      <c r="P48" s="6">
        <v>0</v>
      </c>
      <c r="Q48" s="7"/>
      <c r="R48" s="6">
        <v>21.02</v>
      </c>
      <c r="S48" s="7"/>
      <c r="T48" s="6">
        <v>203.73</v>
      </c>
      <c r="U48" s="7"/>
      <c r="V48" s="6">
        <v>0</v>
      </c>
      <c r="W48" s="7"/>
      <c r="X48" s="6">
        <v>0</v>
      </c>
      <c r="Y48" s="7"/>
      <c r="Z48" s="6">
        <v>16.27</v>
      </c>
      <c r="AA48" s="7"/>
      <c r="AB48" s="6">
        <v>0</v>
      </c>
      <c r="AC48" s="7"/>
      <c r="AD48" s="6">
        <v>0</v>
      </c>
      <c r="AE48" s="7"/>
      <c r="AF48" s="6">
        <v>0</v>
      </c>
      <c r="AG48" s="7"/>
      <c r="AH48" s="6">
        <v>-50</v>
      </c>
      <c r="AI48" s="7"/>
      <c r="AJ48" s="6">
        <v>0</v>
      </c>
      <c r="AK48" s="7"/>
      <c r="AL48" s="6">
        <v>0</v>
      </c>
      <c r="AM48" s="7"/>
      <c r="AN48" s="6">
        <v>0</v>
      </c>
      <c r="AO48" s="7"/>
      <c r="AP48" s="6">
        <v>0</v>
      </c>
      <c r="AQ48" s="7"/>
      <c r="AR48" s="6">
        <v>0</v>
      </c>
      <c r="AS48" s="7"/>
      <c r="AT48" s="6">
        <v>0</v>
      </c>
      <c r="AU48" s="7"/>
      <c r="AV48" s="6">
        <v>0</v>
      </c>
      <c r="AW48" s="7"/>
      <c r="AX48" s="6">
        <v>0</v>
      </c>
      <c r="AY48" s="7"/>
      <c r="AZ48" s="6">
        <v>0</v>
      </c>
      <c r="BA48" s="7"/>
      <c r="BB48" s="6">
        <v>102.64</v>
      </c>
      <c r="BC48" s="7"/>
      <c r="BD48" s="6">
        <f t="shared" ref="BD48:BD53" si="6">ROUND(H48+L48+P48+T48+X48+AB48+AF48+AJ48+AN48+AR48+AV48+AZ48,5)</f>
        <v>1495.44</v>
      </c>
      <c r="BE48" s="7"/>
      <c r="BF48" s="6">
        <f t="shared" ref="BF48:BF53" si="7">ROUND(J48+N48+R48+V48+Z48+AD48+AH48+AL48+AP48+AT48+AX48+BB48,5)</f>
        <v>224.4</v>
      </c>
    </row>
    <row r="49" spans="1:58" ht="15" outlineLevel="3" thickBot="1" x14ac:dyDescent="0.4">
      <c r="A49" s="2"/>
      <c r="B49" s="2"/>
      <c r="C49" s="2"/>
      <c r="D49" s="2"/>
      <c r="E49" s="2"/>
      <c r="F49" s="2"/>
      <c r="G49" s="2" t="s">
        <v>65</v>
      </c>
      <c r="H49" s="9">
        <v>356.06</v>
      </c>
      <c r="I49" s="7"/>
      <c r="J49" s="9">
        <v>173.35</v>
      </c>
      <c r="K49" s="7"/>
      <c r="L49" s="9">
        <v>683.6</v>
      </c>
      <c r="M49" s="7"/>
      <c r="N49" s="9">
        <v>590.45000000000005</v>
      </c>
      <c r="O49" s="7"/>
      <c r="P49" s="9">
        <v>237.15</v>
      </c>
      <c r="Q49" s="7"/>
      <c r="R49" s="9">
        <v>314.24</v>
      </c>
      <c r="S49" s="7"/>
      <c r="T49" s="9">
        <v>1018.17</v>
      </c>
      <c r="U49" s="7"/>
      <c r="V49" s="9">
        <v>315.25</v>
      </c>
      <c r="W49" s="7"/>
      <c r="X49" s="9">
        <v>298.91000000000003</v>
      </c>
      <c r="Y49" s="7"/>
      <c r="Z49" s="9">
        <v>197.2</v>
      </c>
      <c r="AA49" s="7"/>
      <c r="AB49" s="9">
        <v>431.25</v>
      </c>
      <c r="AC49" s="7"/>
      <c r="AD49" s="9">
        <v>338.5</v>
      </c>
      <c r="AE49" s="7"/>
      <c r="AF49" s="9">
        <v>0</v>
      </c>
      <c r="AG49" s="7"/>
      <c r="AH49" s="9">
        <v>201.74</v>
      </c>
      <c r="AI49" s="7"/>
      <c r="AJ49" s="9">
        <v>0</v>
      </c>
      <c r="AK49" s="7"/>
      <c r="AL49" s="9">
        <v>272.27999999999997</v>
      </c>
      <c r="AM49" s="7"/>
      <c r="AN49" s="9">
        <v>0</v>
      </c>
      <c r="AO49" s="7"/>
      <c r="AP49" s="9">
        <v>306.82</v>
      </c>
      <c r="AQ49" s="7"/>
      <c r="AR49" s="9">
        <v>0</v>
      </c>
      <c r="AS49" s="7"/>
      <c r="AT49" s="9">
        <v>227.71</v>
      </c>
      <c r="AU49" s="7"/>
      <c r="AV49" s="9">
        <v>0</v>
      </c>
      <c r="AW49" s="7"/>
      <c r="AX49" s="9">
        <v>238.05</v>
      </c>
      <c r="AY49" s="7"/>
      <c r="AZ49" s="9">
        <v>0</v>
      </c>
      <c r="BA49" s="7"/>
      <c r="BB49" s="9">
        <v>472.38</v>
      </c>
      <c r="BC49" s="7"/>
      <c r="BD49" s="9">
        <f t="shared" si="6"/>
        <v>3025.14</v>
      </c>
      <c r="BE49" s="7"/>
      <c r="BF49" s="9">
        <f t="shared" si="7"/>
        <v>3647.97</v>
      </c>
    </row>
    <row r="50" spans="1:58" outlineLevel="2" x14ac:dyDescent="0.35">
      <c r="A50" s="2"/>
      <c r="B50" s="2"/>
      <c r="C50" s="2"/>
      <c r="D50" s="2"/>
      <c r="E50" s="2"/>
      <c r="F50" s="2" t="s">
        <v>66</v>
      </c>
      <c r="G50" s="2"/>
      <c r="H50" s="6">
        <f>ROUND(SUM(H47:H49),5)</f>
        <v>1618.42</v>
      </c>
      <c r="I50" s="7"/>
      <c r="J50" s="6">
        <f>ROUND(SUM(J47:J49),5)</f>
        <v>307.82</v>
      </c>
      <c r="K50" s="7"/>
      <c r="L50" s="6">
        <f>ROUND(SUM(L47:L49),5)</f>
        <v>712.95</v>
      </c>
      <c r="M50" s="7"/>
      <c r="N50" s="6">
        <f>ROUND(SUM(N47:N49),5)</f>
        <v>590.45000000000005</v>
      </c>
      <c r="O50" s="7"/>
      <c r="P50" s="6">
        <f>ROUND(SUM(P47:P49),5)</f>
        <v>237.15</v>
      </c>
      <c r="Q50" s="7"/>
      <c r="R50" s="6">
        <f>ROUND(SUM(R47:R49),5)</f>
        <v>335.26</v>
      </c>
      <c r="S50" s="7"/>
      <c r="T50" s="6">
        <f>ROUND(SUM(T47:T49),5)</f>
        <v>1221.9000000000001</v>
      </c>
      <c r="U50" s="7"/>
      <c r="V50" s="6">
        <f>ROUND(SUM(V47:V49),5)</f>
        <v>315.25</v>
      </c>
      <c r="W50" s="7"/>
      <c r="X50" s="6">
        <f>ROUND(SUM(X47:X49),5)</f>
        <v>298.91000000000003</v>
      </c>
      <c r="Y50" s="7"/>
      <c r="Z50" s="6">
        <f>ROUND(SUM(Z47:Z49),5)</f>
        <v>213.47</v>
      </c>
      <c r="AA50" s="7"/>
      <c r="AB50" s="6">
        <f>ROUND(SUM(AB47:AB49),5)</f>
        <v>431.25</v>
      </c>
      <c r="AC50" s="7"/>
      <c r="AD50" s="6">
        <f>ROUND(SUM(AD47:AD49),5)</f>
        <v>338.5</v>
      </c>
      <c r="AE50" s="7"/>
      <c r="AF50" s="6">
        <f>ROUND(SUM(AF47:AF49),5)</f>
        <v>0</v>
      </c>
      <c r="AG50" s="7"/>
      <c r="AH50" s="6">
        <f>ROUND(SUM(AH47:AH49),5)</f>
        <v>151.74</v>
      </c>
      <c r="AI50" s="7"/>
      <c r="AJ50" s="6">
        <f>ROUND(SUM(AJ47:AJ49),5)</f>
        <v>0</v>
      </c>
      <c r="AK50" s="7"/>
      <c r="AL50" s="6">
        <f>ROUND(SUM(AL47:AL49),5)</f>
        <v>272.27999999999997</v>
      </c>
      <c r="AM50" s="7"/>
      <c r="AN50" s="6">
        <f>ROUND(SUM(AN47:AN49),5)</f>
        <v>0</v>
      </c>
      <c r="AO50" s="7"/>
      <c r="AP50" s="6">
        <f>ROUND(SUM(AP47:AP49),5)</f>
        <v>306.82</v>
      </c>
      <c r="AQ50" s="7"/>
      <c r="AR50" s="6">
        <f>ROUND(SUM(AR47:AR49),5)</f>
        <v>0</v>
      </c>
      <c r="AS50" s="7"/>
      <c r="AT50" s="6">
        <f>ROUND(SUM(AT47:AT49),5)</f>
        <v>227.71</v>
      </c>
      <c r="AU50" s="7"/>
      <c r="AV50" s="6">
        <f>ROUND(SUM(AV47:AV49),5)</f>
        <v>0</v>
      </c>
      <c r="AW50" s="7"/>
      <c r="AX50" s="6">
        <f>ROUND(SUM(AX47:AX49),5)</f>
        <v>238.05</v>
      </c>
      <c r="AY50" s="7"/>
      <c r="AZ50" s="6">
        <f>ROUND(SUM(AZ47:AZ49),5)</f>
        <v>0</v>
      </c>
      <c r="BA50" s="7"/>
      <c r="BB50" s="6">
        <f>ROUND(SUM(BB47:BB49),5)</f>
        <v>575.02</v>
      </c>
      <c r="BC50" s="7"/>
      <c r="BD50" s="6">
        <f t="shared" si="6"/>
        <v>4520.58</v>
      </c>
      <c r="BE50" s="7"/>
      <c r="BF50" s="6">
        <f t="shared" si="7"/>
        <v>3872.37</v>
      </c>
    </row>
    <row r="51" spans="1:58" outlineLevel="2" x14ac:dyDescent="0.35">
      <c r="A51" s="2"/>
      <c r="B51" s="2"/>
      <c r="C51" s="2"/>
      <c r="D51" s="2"/>
      <c r="E51" s="2"/>
      <c r="F51" s="2" t="s">
        <v>67</v>
      </c>
      <c r="G51" s="2"/>
      <c r="H51" s="6">
        <v>1942.47</v>
      </c>
      <c r="I51" s="7"/>
      <c r="J51" s="6">
        <v>3402.44</v>
      </c>
      <c r="K51" s="7"/>
      <c r="L51" s="6">
        <v>3675.1</v>
      </c>
      <c r="M51" s="7"/>
      <c r="N51" s="6">
        <v>0</v>
      </c>
      <c r="O51" s="7"/>
      <c r="P51" s="6">
        <v>176</v>
      </c>
      <c r="Q51" s="7"/>
      <c r="R51" s="6">
        <v>4735.25</v>
      </c>
      <c r="S51" s="7"/>
      <c r="T51" s="6">
        <v>3989.69</v>
      </c>
      <c r="U51" s="7"/>
      <c r="V51" s="6">
        <v>0</v>
      </c>
      <c r="W51" s="7"/>
      <c r="X51" s="6">
        <v>0</v>
      </c>
      <c r="Y51" s="7"/>
      <c r="Z51" s="6">
        <v>0</v>
      </c>
      <c r="AA51" s="7"/>
      <c r="AB51" s="6">
        <v>0</v>
      </c>
      <c r="AC51" s="7"/>
      <c r="AD51" s="6">
        <v>0</v>
      </c>
      <c r="AE51" s="7"/>
      <c r="AF51" s="6">
        <v>0</v>
      </c>
      <c r="AG51" s="7"/>
      <c r="AH51" s="6">
        <v>22</v>
      </c>
      <c r="AI51" s="7"/>
      <c r="AJ51" s="6">
        <v>0</v>
      </c>
      <c r="AK51" s="7"/>
      <c r="AL51" s="6">
        <v>0</v>
      </c>
      <c r="AM51" s="7"/>
      <c r="AN51" s="6">
        <v>0</v>
      </c>
      <c r="AO51" s="7"/>
      <c r="AP51" s="6">
        <v>0</v>
      </c>
      <c r="AQ51" s="7"/>
      <c r="AR51" s="6">
        <v>0</v>
      </c>
      <c r="AS51" s="7"/>
      <c r="AT51" s="6">
        <v>181.05</v>
      </c>
      <c r="AU51" s="7"/>
      <c r="AV51" s="6">
        <v>0</v>
      </c>
      <c r="AW51" s="7"/>
      <c r="AX51" s="6">
        <v>0</v>
      </c>
      <c r="AY51" s="7"/>
      <c r="AZ51" s="6">
        <v>0</v>
      </c>
      <c r="BA51" s="7"/>
      <c r="BB51" s="6">
        <v>0</v>
      </c>
      <c r="BC51" s="7"/>
      <c r="BD51" s="6">
        <f t="shared" si="6"/>
        <v>9783.26</v>
      </c>
      <c r="BE51" s="7"/>
      <c r="BF51" s="6">
        <f t="shared" si="7"/>
        <v>8340.74</v>
      </c>
    </row>
    <row r="52" spans="1:58" ht="15" outlineLevel="2" thickBot="1" x14ac:dyDescent="0.4">
      <c r="A52" s="2"/>
      <c r="B52" s="2"/>
      <c r="C52" s="2"/>
      <c r="D52" s="2"/>
      <c r="E52" s="2"/>
      <c r="F52" s="2" t="s">
        <v>68</v>
      </c>
      <c r="G52" s="2"/>
      <c r="H52" s="9">
        <v>385.71</v>
      </c>
      <c r="I52" s="7"/>
      <c r="J52" s="9">
        <v>315.23</v>
      </c>
      <c r="K52" s="7"/>
      <c r="L52" s="9">
        <v>304.36</v>
      </c>
      <c r="M52" s="7"/>
      <c r="N52" s="9">
        <v>315.23</v>
      </c>
      <c r="O52" s="7"/>
      <c r="P52" s="9">
        <v>456.54</v>
      </c>
      <c r="Q52" s="7"/>
      <c r="R52" s="9">
        <v>157.62</v>
      </c>
      <c r="S52" s="7"/>
      <c r="T52" s="9">
        <v>304.36</v>
      </c>
      <c r="U52" s="7"/>
      <c r="V52" s="9">
        <v>373.34</v>
      </c>
      <c r="W52" s="7"/>
      <c r="X52" s="9">
        <v>232.03</v>
      </c>
      <c r="Y52" s="7"/>
      <c r="Z52" s="9">
        <v>152.18</v>
      </c>
      <c r="AA52" s="7"/>
      <c r="AB52" s="9">
        <v>2000</v>
      </c>
      <c r="AC52" s="7"/>
      <c r="AD52" s="9">
        <v>0</v>
      </c>
      <c r="AE52" s="7"/>
      <c r="AF52" s="9">
        <v>0</v>
      </c>
      <c r="AG52" s="7"/>
      <c r="AH52" s="9">
        <v>31.37</v>
      </c>
      <c r="AI52" s="7"/>
      <c r="AJ52" s="9">
        <v>0</v>
      </c>
      <c r="AK52" s="7"/>
      <c r="AL52" s="9">
        <v>0</v>
      </c>
      <c r="AM52" s="7"/>
      <c r="AN52" s="9">
        <v>0</v>
      </c>
      <c r="AO52" s="7"/>
      <c r="AP52" s="9">
        <v>0</v>
      </c>
      <c r="AQ52" s="7"/>
      <c r="AR52" s="9">
        <v>0</v>
      </c>
      <c r="AS52" s="7"/>
      <c r="AT52" s="9">
        <v>358.71</v>
      </c>
      <c r="AU52" s="7"/>
      <c r="AV52" s="9">
        <v>0</v>
      </c>
      <c r="AW52" s="7"/>
      <c r="AX52" s="9">
        <v>358.71</v>
      </c>
      <c r="AY52" s="7"/>
      <c r="AZ52" s="9">
        <v>0</v>
      </c>
      <c r="BA52" s="7"/>
      <c r="BB52" s="9">
        <v>239.14</v>
      </c>
      <c r="BC52" s="7"/>
      <c r="BD52" s="9">
        <f t="shared" si="6"/>
        <v>3683</v>
      </c>
      <c r="BE52" s="7"/>
      <c r="BF52" s="9">
        <f t="shared" si="7"/>
        <v>2301.5300000000002</v>
      </c>
    </row>
    <row r="53" spans="1:58" outlineLevel="1" x14ac:dyDescent="0.35">
      <c r="A53" s="2"/>
      <c r="B53" s="2"/>
      <c r="C53" s="2"/>
      <c r="D53" s="2"/>
      <c r="E53" s="2" t="s">
        <v>69</v>
      </c>
      <c r="F53" s="2"/>
      <c r="G53" s="2"/>
      <c r="H53" s="6">
        <f>ROUND(SUM(H39:H41)+SUM(H45:H46)+SUM(H50:H52),5)</f>
        <v>5132.04</v>
      </c>
      <c r="I53" s="7"/>
      <c r="J53" s="6">
        <f>ROUND(SUM(J39:J41)+SUM(J45:J46)+SUM(J50:J52),5)</f>
        <v>6530.54</v>
      </c>
      <c r="K53" s="7"/>
      <c r="L53" s="6">
        <f>ROUND(SUM(L39:L41)+SUM(L45:L46)+SUM(L50:L52),5)</f>
        <v>6040.75</v>
      </c>
      <c r="M53" s="7"/>
      <c r="N53" s="6">
        <f>ROUND(SUM(N39:N41)+SUM(N45:N46)+SUM(N50:N52),5)</f>
        <v>2727.81</v>
      </c>
      <c r="O53" s="7"/>
      <c r="P53" s="6">
        <f>ROUND(SUM(P39:P41)+SUM(P45:P46)+SUM(P50:P52),5)</f>
        <v>3831.17</v>
      </c>
      <c r="Q53" s="7"/>
      <c r="R53" s="6">
        <f>ROUND(SUM(R39:R41)+SUM(R45:R46)+SUM(R50:R52),5)</f>
        <v>8216.0300000000007</v>
      </c>
      <c r="S53" s="7"/>
      <c r="T53" s="6">
        <f>ROUND(SUM(T39:T41)+SUM(T45:T46)+SUM(T50:T52),5)</f>
        <v>6628.62</v>
      </c>
      <c r="U53" s="7"/>
      <c r="V53" s="6">
        <f>ROUND(SUM(V39:V41)+SUM(V45:V46)+SUM(V50:V52),5)</f>
        <v>1769.6</v>
      </c>
      <c r="W53" s="7"/>
      <c r="X53" s="6">
        <f>ROUND(SUM(X39:X41)+SUM(X45:X46)+SUM(X50:X52),5)</f>
        <v>1869.46</v>
      </c>
      <c r="Y53" s="7"/>
      <c r="Z53" s="6">
        <f>ROUND(SUM(Z39:Z41)+SUM(Z45:Z46)+SUM(Z50:Z52),5)</f>
        <v>1250.3800000000001</v>
      </c>
      <c r="AA53" s="7"/>
      <c r="AB53" s="6">
        <f>ROUND(SUM(AB39:AB41)+SUM(AB45:AB46)+SUM(AB50:AB52),5)</f>
        <v>4474.18</v>
      </c>
      <c r="AC53" s="7"/>
      <c r="AD53" s="6">
        <f>ROUND(SUM(AD39:AD41)+SUM(AD45:AD46)+SUM(AD50:AD52),5)</f>
        <v>1658.68</v>
      </c>
      <c r="AE53" s="7"/>
      <c r="AF53" s="6">
        <f>ROUND(SUM(AF39:AF41)+SUM(AF45:AF46)+SUM(AF50:AF52),5)</f>
        <v>50</v>
      </c>
      <c r="AG53" s="7"/>
      <c r="AH53" s="6">
        <f>ROUND(SUM(AH39:AH41)+SUM(AH45:AH46)+SUM(AH50:AH52),5)</f>
        <v>1325.27</v>
      </c>
      <c r="AI53" s="7"/>
      <c r="AJ53" s="6">
        <f>ROUND(SUM(AJ39:AJ41)+SUM(AJ45:AJ46)+SUM(AJ50:AJ52),5)</f>
        <v>0</v>
      </c>
      <c r="AK53" s="7"/>
      <c r="AL53" s="6">
        <f>ROUND(SUM(AL39:AL41)+SUM(AL45:AL46)+SUM(AL50:AL52),5)</f>
        <v>3544.33</v>
      </c>
      <c r="AM53" s="7"/>
      <c r="AN53" s="6">
        <f>ROUND(SUM(AN39:AN41)+SUM(AN45:AN46)+SUM(AN50:AN52),5)</f>
        <v>0</v>
      </c>
      <c r="AO53" s="7"/>
      <c r="AP53" s="6">
        <f>ROUND(SUM(AP39:AP41)+SUM(AP45:AP46)+SUM(AP50:AP52),5)</f>
        <v>2041.29</v>
      </c>
      <c r="AQ53" s="7"/>
      <c r="AR53" s="6">
        <f>ROUND(SUM(AR39:AR41)+SUM(AR45:AR46)+SUM(AR50:AR52),5)</f>
        <v>0</v>
      </c>
      <c r="AS53" s="7"/>
      <c r="AT53" s="6">
        <f>ROUND(SUM(AT39:AT41)+SUM(AT45:AT46)+SUM(AT50:AT52),5)</f>
        <v>1763.85</v>
      </c>
      <c r="AU53" s="7"/>
      <c r="AV53" s="6">
        <f>ROUND(SUM(AV39:AV41)+SUM(AV45:AV46)+SUM(AV50:AV52),5)</f>
        <v>0</v>
      </c>
      <c r="AW53" s="7"/>
      <c r="AX53" s="6">
        <f>ROUND(SUM(AX39:AX41)+SUM(AX45:AX46)+SUM(AX50:AX52),5)</f>
        <v>1709.28</v>
      </c>
      <c r="AY53" s="7"/>
      <c r="AZ53" s="6">
        <f>ROUND(SUM(AZ39:AZ41)+SUM(AZ45:AZ46)+SUM(AZ50:AZ52),5)</f>
        <v>0</v>
      </c>
      <c r="BA53" s="7"/>
      <c r="BB53" s="6">
        <f>ROUND(SUM(BB39:BB41)+SUM(BB45:BB46)+SUM(BB50:BB52),5)</f>
        <v>2851.15</v>
      </c>
      <c r="BC53" s="7"/>
      <c r="BD53" s="6">
        <f t="shared" si="6"/>
        <v>28026.22</v>
      </c>
      <c r="BE53" s="7"/>
      <c r="BF53" s="6">
        <f t="shared" si="7"/>
        <v>35388.21</v>
      </c>
    </row>
    <row r="54" spans="1:58" outlineLevel="2" x14ac:dyDescent="0.35">
      <c r="A54" s="2"/>
      <c r="B54" s="2"/>
      <c r="C54" s="2"/>
      <c r="D54" s="2"/>
      <c r="E54" s="2" t="s">
        <v>70</v>
      </c>
      <c r="F54" s="2"/>
      <c r="G54" s="2"/>
      <c r="H54" s="6"/>
      <c r="I54" s="7"/>
      <c r="J54" s="6"/>
      <c r="K54" s="7"/>
      <c r="L54" s="6"/>
      <c r="M54" s="7"/>
      <c r="N54" s="6"/>
      <c r="O54" s="7"/>
      <c r="P54" s="6"/>
      <c r="Q54" s="7"/>
      <c r="R54" s="6"/>
      <c r="S54" s="7"/>
      <c r="T54" s="6"/>
      <c r="U54" s="7"/>
      <c r="V54" s="6"/>
      <c r="W54" s="7"/>
      <c r="X54" s="6"/>
      <c r="Y54" s="7"/>
      <c r="Z54" s="6"/>
      <c r="AA54" s="7"/>
      <c r="AB54" s="6"/>
      <c r="AC54" s="7"/>
      <c r="AD54" s="6"/>
      <c r="AE54" s="7"/>
      <c r="AF54" s="6"/>
      <c r="AG54" s="7"/>
      <c r="AH54" s="6"/>
      <c r="AI54" s="7"/>
      <c r="AJ54" s="6"/>
      <c r="AK54" s="7"/>
      <c r="AL54" s="6"/>
      <c r="AM54" s="7"/>
      <c r="AN54" s="6"/>
      <c r="AO54" s="7"/>
      <c r="AP54" s="6"/>
      <c r="AQ54" s="7"/>
      <c r="AR54" s="6"/>
      <c r="AS54" s="7"/>
      <c r="AT54" s="6"/>
      <c r="AU54" s="7"/>
      <c r="AV54" s="6"/>
      <c r="AW54" s="7"/>
      <c r="AX54" s="6"/>
      <c r="AY54" s="7"/>
      <c r="AZ54" s="6"/>
      <c r="BA54" s="7"/>
      <c r="BB54" s="6"/>
      <c r="BC54" s="7"/>
      <c r="BD54" s="6"/>
      <c r="BE54" s="7"/>
      <c r="BF54" s="6"/>
    </row>
    <row r="55" spans="1:58" outlineLevel="2" x14ac:dyDescent="0.35">
      <c r="A55" s="2"/>
      <c r="B55" s="2"/>
      <c r="C55" s="2"/>
      <c r="D55" s="2"/>
      <c r="E55" s="2"/>
      <c r="F55" s="2" t="s">
        <v>71</v>
      </c>
      <c r="G55" s="2"/>
      <c r="H55" s="6">
        <v>0</v>
      </c>
      <c r="I55" s="7"/>
      <c r="J55" s="6">
        <v>0</v>
      </c>
      <c r="K55" s="7"/>
      <c r="L55" s="6">
        <v>0</v>
      </c>
      <c r="M55" s="7"/>
      <c r="N55" s="6">
        <v>0</v>
      </c>
      <c r="O55" s="7"/>
      <c r="P55" s="6">
        <v>0</v>
      </c>
      <c r="Q55" s="7"/>
      <c r="R55" s="6">
        <v>0</v>
      </c>
      <c r="S55" s="7"/>
      <c r="T55" s="6">
        <v>1858.33</v>
      </c>
      <c r="U55" s="7"/>
      <c r="V55" s="6">
        <v>1784.5</v>
      </c>
      <c r="W55" s="7"/>
      <c r="X55" s="6">
        <v>0</v>
      </c>
      <c r="Y55" s="7"/>
      <c r="Z55" s="6">
        <v>0</v>
      </c>
      <c r="AA55" s="7"/>
      <c r="AB55" s="6">
        <v>0</v>
      </c>
      <c r="AC55" s="7"/>
      <c r="AD55" s="6">
        <v>0</v>
      </c>
      <c r="AE55" s="7"/>
      <c r="AF55" s="6">
        <v>0</v>
      </c>
      <c r="AG55" s="7"/>
      <c r="AH55" s="6">
        <v>0</v>
      </c>
      <c r="AI55" s="7"/>
      <c r="AJ55" s="6">
        <v>0</v>
      </c>
      <c r="AK55" s="7"/>
      <c r="AL55" s="6">
        <v>0</v>
      </c>
      <c r="AM55" s="7"/>
      <c r="AN55" s="6">
        <v>0</v>
      </c>
      <c r="AO55" s="7"/>
      <c r="AP55" s="6">
        <v>0</v>
      </c>
      <c r="AQ55" s="7"/>
      <c r="AR55" s="6">
        <v>0</v>
      </c>
      <c r="AS55" s="7"/>
      <c r="AT55" s="6">
        <v>1858.33</v>
      </c>
      <c r="AU55" s="7"/>
      <c r="AV55" s="6">
        <v>0</v>
      </c>
      <c r="AW55" s="7"/>
      <c r="AX55" s="6">
        <v>0</v>
      </c>
      <c r="AY55" s="7"/>
      <c r="AZ55" s="6">
        <v>0</v>
      </c>
      <c r="BA55" s="7"/>
      <c r="BB55" s="6">
        <v>0</v>
      </c>
      <c r="BC55" s="7"/>
      <c r="BD55" s="6">
        <f t="shared" ref="BD55:BD62" si="8">ROUND(H55+L55+P55+T55+X55+AB55+AF55+AJ55+AN55+AR55+AV55+AZ55,5)</f>
        <v>1858.33</v>
      </c>
      <c r="BE55" s="7"/>
      <c r="BF55" s="6">
        <f t="shared" ref="BF55:BF62" si="9">ROUND(J55+N55+R55+V55+Z55+AD55+AH55+AL55+AP55+AT55+AX55+BB55,5)</f>
        <v>3642.83</v>
      </c>
    </row>
    <row r="56" spans="1:58" outlineLevel="2" x14ac:dyDescent="0.35">
      <c r="A56" s="2"/>
      <c r="B56" s="2"/>
      <c r="C56" s="2"/>
      <c r="D56" s="2"/>
      <c r="E56" s="2"/>
      <c r="F56" s="2" t="s">
        <v>72</v>
      </c>
      <c r="G56" s="2"/>
      <c r="H56" s="6">
        <v>825.25</v>
      </c>
      <c r="I56" s="7"/>
      <c r="J56" s="6">
        <v>821.61</v>
      </c>
      <c r="K56" s="7"/>
      <c r="L56" s="6">
        <v>920.5</v>
      </c>
      <c r="M56" s="7"/>
      <c r="N56" s="6">
        <v>762.4</v>
      </c>
      <c r="O56" s="7"/>
      <c r="P56" s="6">
        <v>1097.83</v>
      </c>
      <c r="Q56" s="7"/>
      <c r="R56" s="6">
        <v>1006.89</v>
      </c>
      <c r="S56" s="7"/>
      <c r="T56" s="6">
        <v>1078</v>
      </c>
      <c r="U56" s="7"/>
      <c r="V56" s="6">
        <v>1034.32</v>
      </c>
      <c r="W56" s="7"/>
      <c r="X56" s="6">
        <v>1055.23</v>
      </c>
      <c r="Y56" s="7"/>
      <c r="Z56" s="6">
        <v>946.2</v>
      </c>
      <c r="AA56" s="7"/>
      <c r="AB56" s="6">
        <v>835.08</v>
      </c>
      <c r="AC56" s="7"/>
      <c r="AD56" s="6">
        <v>722.38</v>
      </c>
      <c r="AE56" s="7"/>
      <c r="AF56" s="6">
        <v>0</v>
      </c>
      <c r="AG56" s="7"/>
      <c r="AH56" s="6">
        <v>696.94</v>
      </c>
      <c r="AI56" s="7"/>
      <c r="AJ56" s="6">
        <v>0</v>
      </c>
      <c r="AK56" s="7"/>
      <c r="AL56" s="6">
        <v>805.7</v>
      </c>
      <c r="AM56" s="7"/>
      <c r="AN56" s="6">
        <v>0</v>
      </c>
      <c r="AO56" s="7"/>
      <c r="AP56" s="6">
        <v>659.22</v>
      </c>
      <c r="AQ56" s="7"/>
      <c r="AR56" s="6">
        <v>0</v>
      </c>
      <c r="AS56" s="7"/>
      <c r="AT56" s="6">
        <v>708.96</v>
      </c>
      <c r="AU56" s="7"/>
      <c r="AV56" s="6">
        <v>0</v>
      </c>
      <c r="AW56" s="7"/>
      <c r="AX56" s="6">
        <v>703.15</v>
      </c>
      <c r="AY56" s="7"/>
      <c r="AZ56" s="6">
        <v>0</v>
      </c>
      <c r="BA56" s="7"/>
      <c r="BB56" s="6">
        <v>790.89</v>
      </c>
      <c r="BC56" s="7"/>
      <c r="BD56" s="6">
        <f t="shared" si="8"/>
        <v>5811.89</v>
      </c>
      <c r="BE56" s="7"/>
      <c r="BF56" s="6">
        <f t="shared" si="9"/>
        <v>9658.66</v>
      </c>
    </row>
    <row r="57" spans="1:58" ht="15" outlineLevel="2" thickBot="1" x14ac:dyDescent="0.4">
      <c r="A57" s="2"/>
      <c r="B57" s="2"/>
      <c r="C57" s="2"/>
      <c r="D57" s="2"/>
      <c r="E57" s="2"/>
      <c r="F57" s="2" t="s">
        <v>74</v>
      </c>
      <c r="G57" s="2"/>
      <c r="H57" s="6">
        <v>1.29</v>
      </c>
      <c r="I57" s="7"/>
      <c r="J57" s="6">
        <v>0</v>
      </c>
      <c r="K57" s="7"/>
      <c r="L57" s="6">
        <v>0</v>
      </c>
      <c r="M57" s="7"/>
      <c r="N57" s="6">
        <v>9.0299999999999994</v>
      </c>
      <c r="O57" s="7"/>
      <c r="P57" s="6">
        <v>11.61</v>
      </c>
      <c r="Q57" s="7"/>
      <c r="R57" s="6">
        <v>11.61</v>
      </c>
      <c r="S57" s="7"/>
      <c r="T57" s="6">
        <v>5.16</v>
      </c>
      <c r="U57" s="7"/>
      <c r="V57" s="6">
        <v>6.45</v>
      </c>
      <c r="W57" s="7"/>
      <c r="X57" s="6">
        <v>385.16</v>
      </c>
      <c r="Y57" s="7"/>
      <c r="Z57" s="6">
        <v>377.74</v>
      </c>
      <c r="AA57" s="7"/>
      <c r="AB57" s="6">
        <v>0</v>
      </c>
      <c r="AC57" s="7"/>
      <c r="AD57" s="6">
        <v>5.16</v>
      </c>
      <c r="AE57" s="7"/>
      <c r="AF57" s="6">
        <v>225.2</v>
      </c>
      <c r="AG57" s="7"/>
      <c r="AH57" s="6">
        <v>229.07</v>
      </c>
      <c r="AI57" s="7"/>
      <c r="AJ57" s="6">
        <v>0</v>
      </c>
      <c r="AK57" s="7"/>
      <c r="AL57" s="6">
        <v>141.29</v>
      </c>
      <c r="AM57" s="7"/>
      <c r="AN57" s="6">
        <v>0</v>
      </c>
      <c r="AO57" s="7"/>
      <c r="AP57" s="6">
        <v>2.58</v>
      </c>
      <c r="AQ57" s="7"/>
      <c r="AR57" s="6">
        <v>0</v>
      </c>
      <c r="AS57" s="7"/>
      <c r="AT57" s="6">
        <v>15.16</v>
      </c>
      <c r="AU57" s="7"/>
      <c r="AV57" s="6">
        <v>0</v>
      </c>
      <c r="AW57" s="7"/>
      <c r="AX57" s="6">
        <v>707.65</v>
      </c>
      <c r="AY57" s="7"/>
      <c r="AZ57" s="6">
        <v>0</v>
      </c>
      <c r="BA57" s="7"/>
      <c r="BB57" s="6">
        <v>15.48</v>
      </c>
      <c r="BC57" s="7"/>
      <c r="BD57" s="6">
        <f t="shared" si="8"/>
        <v>628.41999999999996</v>
      </c>
      <c r="BE57" s="7"/>
      <c r="BF57" s="6">
        <f t="shared" si="9"/>
        <v>1521.22</v>
      </c>
    </row>
    <row r="58" spans="1:58" ht="15" outlineLevel="1" thickBot="1" x14ac:dyDescent="0.4">
      <c r="A58" s="2"/>
      <c r="B58" s="2"/>
      <c r="C58" s="2"/>
      <c r="D58" s="2"/>
      <c r="E58" s="2" t="s">
        <v>75</v>
      </c>
      <c r="F58" s="2"/>
      <c r="G58" s="2"/>
      <c r="H58" s="20">
        <f>ROUND(SUM(H54:H57),5)</f>
        <v>826.54</v>
      </c>
      <c r="I58" s="7"/>
      <c r="J58" s="20">
        <f>ROUND(SUM(J54:J57),5)</f>
        <v>821.61</v>
      </c>
      <c r="K58" s="7"/>
      <c r="L58" s="20">
        <f>ROUND(SUM(L54:L57),5)</f>
        <v>920.5</v>
      </c>
      <c r="M58" s="7"/>
      <c r="N58" s="20">
        <f>ROUND(SUM(N54:N57),5)</f>
        <v>771.43</v>
      </c>
      <c r="O58" s="7"/>
      <c r="P58" s="20">
        <f>ROUND(SUM(P54:P57),5)</f>
        <v>1109.44</v>
      </c>
      <c r="Q58" s="7"/>
      <c r="R58" s="20">
        <f>ROUND(SUM(R54:R57),5)</f>
        <v>1018.5</v>
      </c>
      <c r="S58" s="7"/>
      <c r="T58" s="20">
        <f>ROUND(SUM(T54:T57),5)</f>
        <v>2941.49</v>
      </c>
      <c r="U58" s="7"/>
      <c r="V58" s="20">
        <f>ROUND(SUM(V54:V57),5)</f>
        <v>2825.27</v>
      </c>
      <c r="W58" s="7"/>
      <c r="X58" s="20">
        <f>ROUND(SUM(X54:X57),5)</f>
        <v>1440.39</v>
      </c>
      <c r="Y58" s="7"/>
      <c r="Z58" s="20">
        <f>ROUND(SUM(Z54:Z57),5)</f>
        <v>1323.94</v>
      </c>
      <c r="AA58" s="7"/>
      <c r="AB58" s="20">
        <f>ROUND(SUM(AB54:AB57),5)</f>
        <v>835.08</v>
      </c>
      <c r="AC58" s="7"/>
      <c r="AD58" s="20">
        <f>ROUND(SUM(AD54:AD57),5)</f>
        <v>727.54</v>
      </c>
      <c r="AE58" s="7"/>
      <c r="AF58" s="20">
        <f>ROUND(SUM(AF54:AF57),5)</f>
        <v>225.2</v>
      </c>
      <c r="AG58" s="7"/>
      <c r="AH58" s="20">
        <f>ROUND(SUM(AH54:AH57),5)</f>
        <v>926.01</v>
      </c>
      <c r="AI58" s="7"/>
      <c r="AJ58" s="20">
        <f>ROUND(SUM(AJ54:AJ57),5)</f>
        <v>0</v>
      </c>
      <c r="AK58" s="7"/>
      <c r="AL58" s="20">
        <f>ROUND(SUM(AL54:AL57),5)</f>
        <v>946.99</v>
      </c>
      <c r="AM58" s="7"/>
      <c r="AN58" s="20">
        <f>ROUND(SUM(AN54:AN57),5)</f>
        <v>0</v>
      </c>
      <c r="AO58" s="7"/>
      <c r="AP58" s="20">
        <f>ROUND(SUM(AP54:AP57),5)</f>
        <v>661.8</v>
      </c>
      <c r="AQ58" s="7"/>
      <c r="AR58" s="20">
        <f>ROUND(SUM(AR54:AR57),5)</f>
        <v>0</v>
      </c>
      <c r="AS58" s="7"/>
      <c r="AT58" s="20">
        <f>ROUND(SUM(AT54:AT57),5)</f>
        <v>2582.4499999999998</v>
      </c>
      <c r="AU58" s="7"/>
      <c r="AV58" s="20">
        <f>ROUND(SUM(AV54:AV57),5)</f>
        <v>0</v>
      </c>
      <c r="AW58" s="7"/>
      <c r="AX58" s="20">
        <f>ROUND(SUM(AX54:AX57),5)</f>
        <v>1410.8</v>
      </c>
      <c r="AY58" s="7"/>
      <c r="AZ58" s="20">
        <f>ROUND(SUM(AZ54:AZ57),5)</f>
        <v>0</v>
      </c>
      <c r="BA58" s="7"/>
      <c r="BB58" s="20">
        <f>ROUND(SUM(BB54:BB57),5)</f>
        <v>806.37</v>
      </c>
      <c r="BC58" s="7"/>
      <c r="BD58" s="20">
        <f t="shared" si="8"/>
        <v>8298.64</v>
      </c>
      <c r="BE58" s="7"/>
      <c r="BF58" s="20">
        <f t="shared" si="9"/>
        <v>14822.71</v>
      </c>
    </row>
    <row r="59" spans="1:58" ht="15" thickBot="1" x14ac:dyDescent="0.4">
      <c r="A59" s="2"/>
      <c r="B59" s="2"/>
      <c r="C59" s="2"/>
      <c r="D59" s="2" t="s">
        <v>85</v>
      </c>
      <c r="E59" s="2"/>
      <c r="F59" s="2"/>
      <c r="G59" s="2"/>
      <c r="H59" s="11">
        <f>ROUND(SUM(H19:H20)+H38+H53+H58,5)</f>
        <v>18855.93</v>
      </c>
      <c r="I59" s="7"/>
      <c r="J59" s="11">
        <f>ROUND(SUM(J19:J20)+J38+J53+J58,5)</f>
        <v>18406.77</v>
      </c>
      <c r="K59" s="7"/>
      <c r="L59" s="11">
        <f>ROUND(SUM(L19:L20)+L38+L53+L58,5)</f>
        <v>21036.47</v>
      </c>
      <c r="M59" s="7"/>
      <c r="N59" s="11">
        <f>ROUND(SUM(N19:N20)+N38+N53+N58,5)</f>
        <v>14536.18</v>
      </c>
      <c r="O59" s="7"/>
      <c r="P59" s="11">
        <f>ROUND(SUM(P19:P20)+P38+P53+P58,5)</f>
        <v>16795.25</v>
      </c>
      <c r="Q59" s="7"/>
      <c r="R59" s="11">
        <f>ROUND(SUM(R19:R20)+R38+R53+R58,5)</f>
        <v>28024.86</v>
      </c>
      <c r="S59" s="7"/>
      <c r="T59" s="11">
        <f>ROUND(SUM(T19:T20)+T38+T53+T58,5)</f>
        <v>30831.5</v>
      </c>
      <c r="U59" s="7"/>
      <c r="V59" s="11">
        <f>ROUND(SUM(V19:V20)+V38+V53+V58,5)</f>
        <v>15859.1</v>
      </c>
      <c r="W59" s="7"/>
      <c r="X59" s="11">
        <f>ROUND(SUM(X19:X20)+X38+X53+X58,5)</f>
        <v>21775.37</v>
      </c>
      <c r="Y59" s="7"/>
      <c r="Z59" s="11">
        <f>ROUND(SUM(Z19:Z20)+Z38+Z53+Z58,5)</f>
        <v>12064.75</v>
      </c>
      <c r="AA59" s="7"/>
      <c r="AB59" s="11">
        <f>ROUND(SUM(AB19:AB20)+AB38+AB53+AB58,5)</f>
        <v>15999.12</v>
      </c>
      <c r="AC59" s="7"/>
      <c r="AD59" s="11">
        <f>ROUND(SUM(AD19:AD20)+AD38+AD53+AD58,5)</f>
        <v>14037.8</v>
      </c>
      <c r="AE59" s="7"/>
      <c r="AF59" s="11">
        <f>ROUND(SUM(AF19:AF20)+AF38+AF53+AF58,5)</f>
        <v>801.27</v>
      </c>
      <c r="AG59" s="7"/>
      <c r="AH59" s="11">
        <f>ROUND(SUM(AH19:AH20)+AH38+AH53+AH58,5)</f>
        <v>12413.48</v>
      </c>
      <c r="AI59" s="7"/>
      <c r="AJ59" s="11">
        <f>ROUND(SUM(AJ19:AJ20)+AJ38+AJ53+AJ58,5)</f>
        <v>0</v>
      </c>
      <c r="AK59" s="7"/>
      <c r="AL59" s="11">
        <f>ROUND(SUM(AL19:AL20)+AL38+AL53+AL58,5)</f>
        <v>15482.62</v>
      </c>
      <c r="AM59" s="7"/>
      <c r="AN59" s="11">
        <f>ROUND(SUM(AN19:AN20)+AN38+AN53+AN58,5)</f>
        <v>0</v>
      </c>
      <c r="AO59" s="7"/>
      <c r="AP59" s="11">
        <f>ROUND(SUM(AP19:AP20)+AP38+AP53+AP58,5)</f>
        <v>12251.69</v>
      </c>
      <c r="AQ59" s="7"/>
      <c r="AR59" s="11">
        <f>ROUND(SUM(AR19:AR20)+AR38+AR53+AR58,5)</f>
        <v>0</v>
      </c>
      <c r="AS59" s="7"/>
      <c r="AT59" s="11">
        <f>ROUND(SUM(AT19:AT20)+AT38+AT53+AT58,5)</f>
        <v>15068.87</v>
      </c>
      <c r="AU59" s="7"/>
      <c r="AV59" s="11">
        <f>ROUND(SUM(AV19:AV20)+AV38+AV53+AV58,5)</f>
        <v>0</v>
      </c>
      <c r="AW59" s="7"/>
      <c r="AX59" s="11">
        <f>ROUND(SUM(AX19:AX20)+AX38+AX53+AX58,5)</f>
        <v>13899.6</v>
      </c>
      <c r="AY59" s="7"/>
      <c r="AZ59" s="11">
        <f>ROUND(SUM(AZ19:AZ20)+AZ38+AZ53+AZ58,5)</f>
        <v>0</v>
      </c>
      <c r="BA59" s="7"/>
      <c r="BB59" s="11">
        <f>ROUND(SUM(BB19:BB20)+BB38+BB53+BB58,5)</f>
        <v>14027.55</v>
      </c>
      <c r="BC59" s="7"/>
      <c r="BD59" s="11">
        <f t="shared" si="8"/>
        <v>126094.91</v>
      </c>
      <c r="BE59" s="7"/>
      <c r="BF59" s="11">
        <f t="shared" si="9"/>
        <v>186073.27</v>
      </c>
    </row>
    <row r="60" spans="1:58" outlineLevel="1" x14ac:dyDescent="0.35">
      <c r="A60" s="2"/>
      <c r="B60" s="2" t="s">
        <v>86</v>
      </c>
      <c r="C60" s="2"/>
      <c r="D60" s="2"/>
      <c r="E60" s="2"/>
      <c r="F60" s="2"/>
      <c r="G60" s="2"/>
      <c r="H60" s="6">
        <f>ROUND(H3+H18-H59,5)</f>
        <v>3758.04</v>
      </c>
      <c r="I60" s="7"/>
      <c r="J60" s="6">
        <f>ROUND(J3+J18-J59,5)</f>
        <v>674.98</v>
      </c>
      <c r="K60" s="7"/>
      <c r="L60" s="6">
        <f>ROUND(L3+L18-L59,5)</f>
        <v>2968</v>
      </c>
      <c r="M60" s="7"/>
      <c r="N60" s="6">
        <f>ROUND(N3+N18-N59,5)</f>
        <v>7185.55</v>
      </c>
      <c r="O60" s="7"/>
      <c r="P60" s="6">
        <f>ROUND(P3+P18-P59,5)</f>
        <v>9950.4500000000007</v>
      </c>
      <c r="Q60" s="7"/>
      <c r="R60" s="6">
        <f>ROUND(R3+R18-R59,5)</f>
        <v>-4894.58</v>
      </c>
      <c r="S60" s="7"/>
      <c r="T60" s="6">
        <f>ROUND(T3+T18-T59,5)</f>
        <v>-6566.56</v>
      </c>
      <c r="U60" s="7"/>
      <c r="V60" s="6">
        <f>ROUND(V3+V18-V59,5)</f>
        <v>5426.07</v>
      </c>
      <c r="W60" s="7"/>
      <c r="X60" s="6">
        <f>ROUND(X3+X18-X59,5)</f>
        <v>-3070.12</v>
      </c>
      <c r="Y60" s="7"/>
      <c r="Z60" s="6">
        <f>ROUND(Z3+Z18-Z59,5)</f>
        <v>4648.7700000000004</v>
      </c>
      <c r="AA60" s="7"/>
      <c r="AB60" s="6">
        <f>ROUND(AB3+AB18-AB59,5)</f>
        <v>3457.47</v>
      </c>
      <c r="AC60" s="7"/>
      <c r="AD60" s="6">
        <f>ROUND(AD3+AD18-AD59,5)</f>
        <v>3106.63</v>
      </c>
      <c r="AE60" s="7"/>
      <c r="AF60" s="6">
        <f>ROUND(AF3+AF18-AF59,5)</f>
        <v>18110.400000000001</v>
      </c>
      <c r="AG60" s="7"/>
      <c r="AH60" s="6">
        <f>ROUND(AH3+AH18-AH59,5)</f>
        <v>4320.67</v>
      </c>
      <c r="AI60" s="7"/>
      <c r="AJ60" s="6">
        <f>ROUND(AJ3+AJ18-AJ59,5)</f>
        <v>0</v>
      </c>
      <c r="AK60" s="7"/>
      <c r="AL60" s="6">
        <f>ROUND(AL3+AL18-AL59,5)</f>
        <v>1175.94</v>
      </c>
      <c r="AM60" s="7"/>
      <c r="AN60" s="6">
        <f>ROUND(AN3+AN18-AN59,5)</f>
        <v>0</v>
      </c>
      <c r="AO60" s="7"/>
      <c r="AP60" s="6">
        <f>ROUND(AP3+AP18-AP59,5)</f>
        <v>4966.87</v>
      </c>
      <c r="AQ60" s="7"/>
      <c r="AR60" s="6">
        <f>ROUND(AR3+AR18-AR59,5)</f>
        <v>0</v>
      </c>
      <c r="AS60" s="7"/>
      <c r="AT60" s="6">
        <f>ROUND(AT3+AT18-AT59,5)</f>
        <v>1827.17</v>
      </c>
      <c r="AU60" s="7"/>
      <c r="AV60" s="6">
        <f>ROUND(AV3+AV18-AV59,5)</f>
        <v>0</v>
      </c>
      <c r="AW60" s="7"/>
      <c r="AX60" s="6">
        <f>ROUND(AX3+AX18-AX59,5)</f>
        <v>2963.96</v>
      </c>
      <c r="AY60" s="7"/>
      <c r="AZ60" s="6">
        <f>ROUND(AZ3+AZ18-AZ59,5)</f>
        <v>0</v>
      </c>
      <c r="BA60" s="7"/>
      <c r="BB60" s="6">
        <f>ROUND(BB3+BB18-BB59,5)</f>
        <v>6071.52</v>
      </c>
      <c r="BC60" s="7"/>
      <c r="BD60" s="6">
        <f t="shared" si="8"/>
        <v>28607.68</v>
      </c>
      <c r="BE60" s="7"/>
      <c r="BF60" s="6">
        <f t="shared" si="9"/>
        <v>37473.550000000003</v>
      </c>
    </row>
    <row r="61" spans="1:58" ht="15" outlineLevel="1" thickBot="1" x14ac:dyDescent="0.4">
      <c r="A61" s="2"/>
      <c r="B61" s="2" t="s">
        <v>87</v>
      </c>
      <c r="C61" s="2"/>
      <c r="D61" s="2"/>
      <c r="E61" s="2"/>
      <c r="F61" s="2"/>
      <c r="G61" s="2"/>
      <c r="H61" s="6">
        <v>-2500</v>
      </c>
      <c r="I61" s="7"/>
      <c r="J61" s="6">
        <v>-2500</v>
      </c>
      <c r="K61" s="7"/>
      <c r="L61" s="6">
        <v>-2500</v>
      </c>
      <c r="M61" s="7"/>
      <c r="N61" s="6">
        <v>-2500</v>
      </c>
      <c r="O61" s="7"/>
      <c r="P61" s="6">
        <v>-2500</v>
      </c>
      <c r="Q61" s="7"/>
      <c r="R61" s="6">
        <v>-2500</v>
      </c>
      <c r="S61" s="7"/>
      <c r="T61" s="6">
        <v>-2500</v>
      </c>
      <c r="U61" s="7"/>
      <c r="V61" s="6">
        <v>-2500</v>
      </c>
      <c r="W61" s="7"/>
      <c r="X61" s="6">
        <v>-2500</v>
      </c>
      <c r="Y61" s="7"/>
      <c r="Z61" s="6">
        <v>-2500</v>
      </c>
      <c r="AA61" s="7"/>
      <c r="AB61" s="6">
        <v>-2500</v>
      </c>
      <c r="AC61" s="7"/>
      <c r="AD61" s="6">
        <v>-2500</v>
      </c>
      <c r="AE61" s="7"/>
      <c r="AF61" s="6">
        <v>0</v>
      </c>
      <c r="AG61" s="7"/>
      <c r="AH61" s="6">
        <v>-2500</v>
      </c>
      <c r="AI61" s="7"/>
      <c r="AJ61" s="6">
        <v>0</v>
      </c>
      <c r="AK61" s="7"/>
      <c r="AL61" s="6">
        <v>-2500</v>
      </c>
      <c r="AM61" s="7"/>
      <c r="AN61" s="6">
        <v>0</v>
      </c>
      <c r="AO61" s="7"/>
      <c r="AP61" s="6">
        <v>-2500</v>
      </c>
      <c r="AQ61" s="7"/>
      <c r="AR61" s="6">
        <v>0</v>
      </c>
      <c r="AS61" s="7"/>
      <c r="AT61" s="6">
        <v>-2500</v>
      </c>
      <c r="AU61" s="7"/>
      <c r="AV61" s="6">
        <v>0</v>
      </c>
      <c r="AW61" s="7"/>
      <c r="AX61" s="6">
        <v>-2500</v>
      </c>
      <c r="AY61" s="7"/>
      <c r="AZ61" s="6">
        <v>0</v>
      </c>
      <c r="BA61" s="7"/>
      <c r="BB61" s="6">
        <v>-2500</v>
      </c>
      <c r="BC61" s="7"/>
      <c r="BD61" s="6">
        <f t="shared" si="8"/>
        <v>-15000</v>
      </c>
      <c r="BE61" s="7"/>
      <c r="BF61" s="6">
        <f t="shared" si="9"/>
        <v>-30000</v>
      </c>
    </row>
    <row r="62" spans="1:58" s="15" customFormat="1" ht="11" thickBot="1" x14ac:dyDescent="0.3">
      <c r="A62" s="2" t="s">
        <v>88</v>
      </c>
      <c r="B62" s="2"/>
      <c r="C62" s="2"/>
      <c r="D62" s="2"/>
      <c r="E62" s="2"/>
      <c r="F62" s="2"/>
      <c r="G62" s="2"/>
      <c r="H62" s="13">
        <f>ROUND(SUM(H60:H61),5)</f>
        <v>1258.04</v>
      </c>
      <c r="I62" s="2"/>
      <c r="J62" s="13">
        <f>ROUND(SUM(J60:J61),5)</f>
        <v>-1825.02</v>
      </c>
      <c r="K62" s="2"/>
      <c r="L62" s="13">
        <f>ROUND(SUM(L60:L61),5)</f>
        <v>468</v>
      </c>
      <c r="M62" s="2"/>
      <c r="N62" s="13">
        <f>ROUND(SUM(N60:N61),5)</f>
        <v>4685.55</v>
      </c>
      <c r="O62" s="2"/>
      <c r="P62" s="13">
        <f>ROUND(SUM(P60:P61),5)</f>
        <v>7450.45</v>
      </c>
      <c r="Q62" s="2"/>
      <c r="R62" s="13">
        <f>ROUND(SUM(R60:R61),5)</f>
        <v>-7394.58</v>
      </c>
      <c r="S62" s="2"/>
      <c r="T62" s="13">
        <f>ROUND(SUM(T60:T61),5)</f>
        <v>-9066.56</v>
      </c>
      <c r="U62" s="2"/>
      <c r="V62" s="13">
        <f>ROUND(SUM(V60:V61),5)</f>
        <v>2926.07</v>
      </c>
      <c r="W62" s="2"/>
      <c r="X62" s="13">
        <f>ROUND(SUM(X60:X61),5)</f>
        <v>-5570.12</v>
      </c>
      <c r="Y62" s="2"/>
      <c r="Z62" s="13">
        <f>ROUND(SUM(Z60:Z61),5)</f>
        <v>2148.77</v>
      </c>
      <c r="AA62" s="2"/>
      <c r="AB62" s="13">
        <f>ROUND(SUM(AB60:AB61),5)</f>
        <v>957.47</v>
      </c>
      <c r="AC62" s="2"/>
      <c r="AD62" s="13">
        <f>ROUND(SUM(AD60:AD61),5)</f>
        <v>606.63</v>
      </c>
      <c r="AE62" s="2"/>
      <c r="AF62" s="13">
        <f>ROUND(SUM(AF60:AF61),5)</f>
        <v>18110.400000000001</v>
      </c>
      <c r="AG62" s="2"/>
      <c r="AH62" s="13">
        <f>ROUND(SUM(AH60:AH61),5)</f>
        <v>1820.67</v>
      </c>
      <c r="AI62" s="2"/>
      <c r="AJ62" s="13">
        <f>ROUND(SUM(AJ60:AJ61),5)</f>
        <v>0</v>
      </c>
      <c r="AK62" s="2"/>
      <c r="AL62" s="13">
        <f>ROUND(SUM(AL60:AL61),5)</f>
        <v>-1324.06</v>
      </c>
      <c r="AM62" s="2"/>
      <c r="AN62" s="13">
        <f>ROUND(SUM(AN60:AN61),5)</f>
        <v>0</v>
      </c>
      <c r="AO62" s="2"/>
      <c r="AP62" s="13">
        <f>ROUND(SUM(AP60:AP61),5)</f>
        <v>2466.87</v>
      </c>
      <c r="AQ62" s="2"/>
      <c r="AR62" s="13">
        <f>ROUND(SUM(AR60:AR61),5)</f>
        <v>0</v>
      </c>
      <c r="AS62" s="2"/>
      <c r="AT62" s="13">
        <f>ROUND(SUM(AT60:AT61),5)</f>
        <v>-672.83</v>
      </c>
      <c r="AU62" s="2"/>
      <c r="AV62" s="13">
        <f>ROUND(SUM(AV60:AV61),5)</f>
        <v>0</v>
      </c>
      <c r="AW62" s="2"/>
      <c r="AX62" s="13">
        <f>ROUND(SUM(AX60:AX61),5)</f>
        <v>463.96</v>
      </c>
      <c r="AY62" s="2"/>
      <c r="AZ62" s="13">
        <f>ROUND(SUM(AZ60:AZ61),5)</f>
        <v>0</v>
      </c>
      <c r="BA62" s="2"/>
      <c r="BB62" s="13">
        <f>ROUND(SUM(BB60:BB61),5)</f>
        <v>3571.52</v>
      </c>
      <c r="BC62" s="2"/>
      <c r="BD62" s="13">
        <f t="shared" si="8"/>
        <v>13607.68</v>
      </c>
      <c r="BE62" s="2"/>
      <c r="BF62" s="13">
        <f t="shared" si="9"/>
        <v>7473.55</v>
      </c>
    </row>
    <row r="63" spans="1:58" ht="15" thickTop="1" x14ac:dyDescent="0.35"/>
  </sheetData>
  <pageMargins left="0.7" right="0.7" top="0.75" bottom="0.75" header="0.1" footer="0.3"/>
  <pageSetup orientation="portrait" r:id="rId1"/>
  <headerFooter>
    <oddHeader>&amp;L&amp;"Arial,Bold"&amp;8 9:06 PM
&amp;"Arial,Bold"&amp;8 01/25/22
&amp;"Arial,Bold"&amp;8 Accrual Basis&amp;C&amp;"Arial,Bold"&amp;12 Dockton Water Association
&amp;"Arial,Bold"&amp;14 Profit &amp;&amp; Loss
&amp;"Arial,Bold"&amp;10 July 2021 through June 2022</oddHeader>
    <oddFooter>&amp;R&amp;"Arial,Bold"&amp;8 Page &amp;P of &amp;N</oddFooter>
  </headerFooter>
  <drawing r:id="rId2"/>
  <legacyDrawing r:id="rId3"/>
  <controls>
    <mc:AlternateContent xmlns:mc="http://schemas.openxmlformats.org/markup-compatibility/2006">
      <mc:Choice Requires="x14">
        <control shapeId="11265" r:id="rId4" name="FILTER">
          <controlPr defaultSize="0" autoLine="0" r:id="rId5">
            <anchor moveWithCells="1">
              <from>
                <xdr:col>0</xdr:col>
                <xdr:colOff>0</xdr:colOff>
                <xdr:row>0</xdr:row>
                <xdr:rowOff>0</xdr:rowOff>
              </from>
              <to>
                <xdr:col>4</xdr:col>
                <xdr:colOff>76200</xdr:colOff>
                <xdr:row>1</xdr:row>
                <xdr:rowOff>38100</xdr:rowOff>
              </to>
            </anchor>
          </controlPr>
        </control>
      </mc:Choice>
      <mc:Fallback>
        <control shapeId="11265" r:id="rId4" name="FILTER"/>
      </mc:Fallback>
    </mc:AlternateContent>
    <mc:AlternateContent xmlns:mc="http://schemas.openxmlformats.org/markup-compatibility/2006">
      <mc:Choice Requires="x14">
        <control shapeId="11266" r:id="rId6" name="HEADER">
          <controlPr defaultSize="0" autoLine="0" r:id="rId7">
            <anchor moveWithCells="1">
              <from>
                <xdr:col>0</xdr:col>
                <xdr:colOff>0</xdr:colOff>
                <xdr:row>0</xdr:row>
                <xdr:rowOff>0</xdr:rowOff>
              </from>
              <to>
                <xdr:col>4</xdr:col>
                <xdr:colOff>76200</xdr:colOff>
                <xdr:row>1</xdr:row>
                <xdr:rowOff>38100</xdr:rowOff>
              </to>
            </anchor>
          </controlPr>
        </control>
      </mc:Choice>
      <mc:Fallback>
        <control shapeId="11266" r:id="rId6" name="HEADER"/>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AD82"/>
  <sheetViews>
    <sheetView workbookViewId="0">
      <selection activeCell="B1" sqref="B1"/>
    </sheetView>
  </sheetViews>
  <sheetFormatPr defaultRowHeight="14.5" outlineLevelRow="3" outlineLevelCol="1" x14ac:dyDescent="0.35"/>
  <cols>
    <col min="1" max="6" width="3" style="15" customWidth="1"/>
    <col min="7" max="7" width="27.90625" style="15" customWidth="1"/>
    <col min="8" max="8" width="12.36328125" bestFit="1" customWidth="1" outlineLevel="1"/>
    <col min="9" max="9" width="2.36328125" customWidth="1" outlineLevel="1"/>
    <col min="10" max="10" width="8.6328125" bestFit="1" customWidth="1" outlineLevel="1"/>
    <col min="11" max="11" width="2.36328125" customWidth="1" outlineLevel="1"/>
    <col min="12" max="12" width="10.36328125" bestFit="1" customWidth="1"/>
    <col min="13" max="13" width="2.36328125" customWidth="1"/>
    <col min="14" max="14" width="12.36328125" bestFit="1" customWidth="1" outlineLevel="1"/>
    <col min="15" max="15" width="2.36328125" customWidth="1" outlineLevel="1"/>
    <col min="16" max="16" width="8.453125" bestFit="1" customWidth="1" outlineLevel="1"/>
    <col min="17" max="17" width="2.36328125" customWidth="1" outlineLevel="1"/>
    <col min="18" max="18" width="10.36328125" bestFit="1" customWidth="1"/>
    <col min="19" max="19" width="2.36328125" customWidth="1"/>
    <col min="20" max="20" width="12.36328125" bestFit="1" customWidth="1" outlineLevel="1"/>
    <col min="21" max="21" width="2.36328125" customWidth="1" outlineLevel="1"/>
    <col min="22" max="22" width="9.36328125" bestFit="1" customWidth="1" outlineLevel="1"/>
    <col min="23" max="23" width="2.36328125" customWidth="1" outlineLevel="1"/>
    <col min="24" max="24" width="10.36328125" bestFit="1" customWidth="1"/>
    <col min="25" max="25" width="2.36328125" customWidth="1"/>
    <col min="26" max="26" width="12.36328125" bestFit="1" customWidth="1"/>
    <col min="27" max="27" width="2.36328125" customWidth="1"/>
    <col min="28" max="28" width="9.36328125" bestFit="1" customWidth="1"/>
    <col min="29" max="29" width="2.36328125" customWidth="1"/>
    <col min="30" max="30" width="10.36328125" bestFit="1" customWidth="1"/>
  </cols>
  <sheetData>
    <row r="1" spans="1:30" ht="15" thickBot="1" x14ac:dyDescent="0.4">
      <c r="A1" s="2"/>
      <c r="B1" s="2"/>
      <c r="C1" s="2"/>
      <c r="D1" s="2"/>
      <c r="E1" s="2"/>
      <c r="F1" s="2"/>
      <c r="G1" s="2"/>
      <c r="H1" s="4" t="s">
        <v>0</v>
      </c>
      <c r="I1" s="3"/>
      <c r="J1" s="5"/>
      <c r="K1" s="3"/>
      <c r="L1" s="5"/>
      <c r="M1" s="1"/>
      <c r="N1" s="4" t="s">
        <v>1</v>
      </c>
      <c r="O1" s="3"/>
      <c r="P1" s="5"/>
      <c r="Q1" s="3"/>
      <c r="R1" s="5"/>
      <c r="S1" s="1"/>
      <c r="T1" s="4" t="s">
        <v>2</v>
      </c>
      <c r="U1" s="3"/>
      <c r="V1" s="5"/>
      <c r="W1" s="3"/>
      <c r="X1" s="5"/>
      <c r="Y1" s="1"/>
      <c r="Z1" s="4" t="s">
        <v>3</v>
      </c>
      <c r="AA1" s="3"/>
      <c r="AB1" s="5"/>
      <c r="AC1" s="3"/>
      <c r="AD1" s="5"/>
    </row>
    <row r="2" spans="1:30" s="19" customFormat="1" ht="15.5" thickTop="1" thickBot="1" x14ac:dyDescent="0.4">
      <c r="A2" s="16"/>
      <c r="B2" s="16"/>
      <c r="C2" s="16"/>
      <c r="D2" s="16"/>
      <c r="E2" s="16"/>
      <c r="F2" s="16"/>
      <c r="G2" s="16"/>
      <c r="H2" s="17" t="s">
        <v>97</v>
      </c>
      <c r="I2" s="18"/>
      <c r="J2" s="17" t="s">
        <v>5</v>
      </c>
      <c r="K2" s="18"/>
      <c r="L2" s="17" t="s">
        <v>6</v>
      </c>
      <c r="M2" s="18"/>
      <c r="N2" s="17" t="s">
        <v>97</v>
      </c>
      <c r="O2" s="18"/>
      <c r="P2" s="17" t="s">
        <v>5</v>
      </c>
      <c r="Q2" s="18"/>
      <c r="R2" s="17" t="s">
        <v>6</v>
      </c>
      <c r="S2" s="18"/>
      <c r="T2" s="17" t="s">
        <v>97</v>
      </c>
      <c r="U2" s="18"/>
      <c r="V2" s="17" t="s">
        <v>5</v>
      </c>
      <c r="W2" s="18"/>
      <c r="X2" s="17" t="s">
        <v>6</v>
      </c>
      <c r="Y2" s="18"/>
      <c r="Z2" s="17" t="s">
        <v>97</v>
      </c>
      <c r="AA2" s="18"/>
      <c r="AB2" s="17" t="s">
        <v>5</v>
      </c>
      <c r="AC2" s="18"/>
      <c r="AD2" s="17" t="s">
        <v>6</v>
      </c>
    </row>
    <row r="3" spans="1:30" ht="15" thickTop="1" x14ac:dyDescent="0.35">
      <c r="A3" s="2"/>
      <c r="B3" s="2" t="s">
        <v>7</v>
      </c>
      <c r="C3" s="2"/>
      <c r="D3" s="2"/>
      <c r="E3" s="2"/>
      <c r="F3" s="2"/>
      <c r="G3" s="2"/>
      <c r="H3" s="6"/>
      <c r="I3" s="7"/>
      <c r="J3" s="6"/>
      <c r="K3" s="7"/>
      <c r="L3" s="8"/>
      <c r="M3" s="7"/>
      <c r="N3" s="6"/>
      <c r="O3" s="7"/>
      <c r="P3" s="6"/>
      <c r="Q3" s="7"/>
      <c r="R3" s="8"/>
      <c r="S3" s="7"/>
      <c r="T3" s="6"/>
      <c r="U3" s="7"/>
      <c r="V3" s="6"/>
      <c r="W3" s="7"/>
      <c r="X3" s="8"/>
      <c r="Y3" s="7"/>
      <c r="Z3" s="6"/>
      <c r="AA3" s="7"/>
      <c r="AB3" s="6"/>
      <c r="AC3" s="7"/>
      <c r="AD3" s="8"/>
    </row>
    <row r="4" spans="1:30" outlineLevel="1" x14ac:dyDescent="0.35">
      <c r="A4" s="2"/>
      <c r="B4" s="2"/>
      <c r="C4" s="2"/>
      <c r="D4" s="2" t="s">
        <v>8</v>
      </c>
      <c r="E4" s="2"/>
      <c r="F4" s="2"/>
      <c r="G4" s="2"/>
      <c r="H4" s="6"/>
      <c r="I4" s="7"/>
      <c r="J4" s="6"/>
      <c r="K4" s="7"/>
      <c r="L4" s="8"/>
      <c r="M4" s="7"/>
      <c r="N4" s="6"/>
      <c r="O4" s="7"/>
      <c r="P4" s="6"/>
      <c r="Q4" s="7"/>
      <c r="R4" s="8"/>
      <c r="S4" s="7"/>
      <c r="T4" s="6"/>
      <c r="U4" s="7"/>
      <c r="V4" s="6"/>
      <c r="W4" s="7"/>
      <c r="X4" s="8"/>
      <c r="Y4" s="7"/>
      <c r="Z4" s="6"/>
      <c r="AA4" s="7"/>
      <c r="AB4" s="6"/>
      <c r="AC4" s="7"/>
      <c r="AD4" s="8"/>
    </row>
    <row r="5" spans="1:30" outlineLevel="2" x14ac:dyDescent="0.35">
      <c r="A5" s="2"/>
      <c r="B5" s="2"/>
      <c r="C5" s="2"/>
      <c r="D5" s="2"/>
      <c r="E5" s="2" t="s">
        <v>9</v>
      </c>
      <c r="F5" s="2"/>
      <c r="G5" s="2"/>
      <c r="H5" s="6"/>
      <c r="I5" s="7"/>
      <c r="J5" s="6"/>
      <c r="K5" s="7"/>
      <c r="L5" s="8"/>
      <c r="M5" s="7"/>
      <c r="N5" s="6"/>
      <c r="O5" s="7"/>
      <c r="P5" s="6"/>
      <c r="Q5" s="7"/>
      <c r="R5" s="8"/>
      <c r="S5" s="7"/>
      <c r="T5" s="6"/>
      <c r="U5" s="7"/>
      <c r="V5" s="6"/>
      <c r="W5" s="7"/>
      <c r="X5" s="8"/>
      <c r="Y5" s="7"/>
      <c r="Z5" s="6"/>
      <c r="AA5" s="7"/>
      <c r="AB5" s="6"/>
      <c r="AC5" s="7"/>
      <c r="AD5" s="8"/>
    </row>
    <row r="6" spans="1:30" outlineLevel="2" x14ac:dyDescent="0.35">
      <c r="A6" s="2"/>
      <c r="B6" s="2"/>
      <c r="C6" s="2"/>
      <c r="D6" s="2"/>
      <c r="E6" s="2"/>
      <c r="F6" s="2" t="s">
        <v>10</v>
      </c>
      <c r="G6" s="2"/>
      <c r="H6" s="6">
        <v>159400.14000000001</v>
      </c>
      <c r="I6" s="7"/>
      <c r="J6" s="6">
        <v>156000</v>
      </c>
      <c r="K6" s="7"/>
      <c r="L6" s="8">
        <f>ROUND(IF(J6=0, IF(H6=0, 0, 1), H6/J6),5)</f>
        <v>1.0218</v>
      </c>
      <c r="M6" s="7"/>
      <c r="N6" s="6">
        <v>0</v>
      </c>
      <c r="O6" s="7"/>
      <c r="P6" s="6"/>
      <c r="Q6" s="7"/>
      <c r="R6" s="8"/>
      <c r="S6" s="7"/>
      <c r="T6" s="6">
        <v>14807</v>
      </c>
      <c r="U6" s="7"/>
      <c r="V6" s="6">
        <v>16200</v>
      </c>
      <c r="W6" s="7"/>
      <c r="X6" s="8">
        <f>ROUND(IF(V6=0, IF(T6=0, 0, 1), T6/V6),5)</f>
        <v>0.91400999999999999</v>
      </c>
      <c r="Y6" s="7"/>
      <c r="Z6" s="6">
        <f t="shared" ref="Z6:Z12" si="0">ROUND(H6+N6+T6,5)</f>
        <v>174207.14</v>
      </c>
      <c r="AA6" s="7"/>
      <c r="AB6" s="6">
        <f t="shared" ref="AB6:AB12" si="1">ROUND(J6+P6+V6,5)</f>
        <v>172200</v>
      </c>
      <c r="AC6" s="7"/>
      <c r="AD6" s="8">
        <f t="shared" ref="AD6:AD12" si="2">ROUND(IF(AB6=0, IF(Z6=0, 0, 1), Z6/AB6),5)</f>
        <v>1.01166</v>
      </c>
    </row>
    <row r="7" spans="1:30" outlineLevel="2" x14ac:dyDescent="0.35">
      <c r="A7" s="2"/>
      <c r="B7" s="2"/>
      <c r="C7" s="2"/>
      <c r="D7" s="2"/>
      <c r="E7" s="2"/>
      <c r="F7" s="2" t="s">
        <v>11</v>
      </c>
      <c r="G7" s="2"/>
      <c r="H7" s="6">
        <v>816</v>
      </c>
      <c r="I7" s="7"/>
      <c r="J7" s="6">
        <v>800.04</v>
      </c>
      <c r="K7" s="7"/>
      <c r="L7" s="8">
        <f>ROUND(IF(J7=0, IF(H7=0, 0, 1), H7/J7),5)</f>
        <v>1.0199499999999999</v>
      </c>
      <c r="M7" s="7"/>
      <c r="N7" s="6">
        <v>0</v>
      </c>
      <c r="O7" s="7"/>
      <c r="P7" s="6"/>
      <c r="Q7" s="7"/>
      <c r="R7" s="8"/>
      <c r="S7" s="7"/>
      <c r="T7" s="6">
        <v>0</v>
      </c>
      <c r="U7" s="7"/>
      <c r="V7" s="6"/>
      <c r="W7" s="7"/>
      <c r="X7" s="8"/>
      <c r="Y7" s="7"/>
      <c r="Z7" s="6">
        <f t="shared" si="0"/>
        <v>816</v>
      </c>
      <c r="AA7" s="7"/>
      <c r="AB7" s="6">
        <f t="shared" si="1"/>
        <v>800.04</v>
      </c>
      <c r="AC7" s="7"/>
      <c r="AD7" s="8">
        <f t="shared" si="2"/>
        <v>1.0199499999999999</v>
      </c>
    </row>
    <row r="8" spans="1:30" outlineLevel="2" x14ac:dyDescent="0.35">
      <c r="A8" s="2"/>
      <c r="B8" s="2"/>
      <c r="C8" s="2"/>
      <c r="D8" s="2"/>
      <c r="E8" s="2"/>
      <c r="F8" s="2" t="s">
        <v>12</v>
      </c>
      <c r="G8" s="2"/>
      <c r="H8" s="6">
        <v>47644.13</v>
      </c>
      <c r="I8" s="7"/>
      <c r="J8" s="6">
        <v>56400</v>
      </c>
      <c r="K8" s="7"/>
      <c r="L8" s="8">
        <f>ROUND(IF(J8=0, IF(H8=0, 0, 1), H8/J8),5)</f>
        <v>0.84475</v>
      </c>
      <c r="M8" s="7"/>
      <c r="N8" s="6">
        <v>0</v>
      </c>
      <c r="O8" s="7"/>
      <c r="P8" s="6"/>
      <c r="Q8" s="7"/>
      <c r="R8" s="8"/>
      <c r="S8" s="7"/>
      <c r="T8" s="6">
        <v>0</v>
      </c>
      <c r="U8" s="7"/>
      <c r="V8" s="6"/>
      <c r="W8" s="7"/>
      <c r="X8" s="8"/>
      <c r="Y8" s="7"/>
      <c r="Z8" s="6">
        <f t="shared" si="0"/>
        <v>47644.13</v>
      </c>
      <c r="AA8" s="7"/>
      <c r="AB8" s="6">
        <f t="shared" si="1"/>
        <v>56400</v>
      </c>
      <c r="AC8" s="7"/>
      <c r="AD8" s="8">
        <f t="shared" si="2"/>
        <v>0.84475</v>
      </c>
    </row>
    <row r="9" spans="1:30" outlineLevel="2" x14ac:dyDescent="0.35">
      <c r="A9" s="2"/>
      <c r="B9" s="2"/>
      <c r="C9" s="2"/>
      <c r="D9" s="2"/>
      <c r="E9" s="2"/>
      <c r="F9" s="2" t="s">
        <v>98</v>
      </c>
      <c r="G9" s="2"/>
      <c r="H9" s="6">
        <v>906.3</v>
      </c>
      <c r="I9" s="7"/>
      <c r="J9" s="6"/>
      <c r="K9" s="7"/>
      <c r="L9" s="8"/>
      <c r="M9" s="7"/>
      <c r="N9" s="6">
        <v>0</v>
      </c>
      <c r="O9" s="7"/>
      <c r="P9" s="6"/>
      <c r="Q9" s="7"/>
      <c r="R9" s="8"/>
      <c r="S9" s="7"/>
      <c r="T9" s="6">
        <v>0</v>
      </c>
      <c r="U9" s="7"/>
      <c r="V9" s="6"/>
      <c r="W9" s="7"/>
      <c r="X9" s="8"/>
      <c r="Y9" s="7"/>
      <c r="Z9" s="6">
        <f t="shared" si="0"/>
        <v>906.3</v>
      </c>
      <c r="AA9" s="7"/>
      <c r="AB9" s="6">
        <f t="shared" si="1"/>
        <v>0</v>
      </c>
      <c r="AC9" s="7"/>
      <c r="AD9" s="8">
        <f t="shared" si="2"/>
        <v>1</v>
      </c>
    </row>
    <row r="10" spans="1:30" outlineLevel="2" x14ac:dyDescent="0.35">
      <c r="A10" s="2"/>
      <c r="B10" s="2"/>
      <c r="C10" s="2"/>
      <c r="D10" s="2"/>
      <c r="E10" s="2"/>
      <c r="F10" s="2" t="s">
        <v>13</v>
      </c>
      <c r="G10" s="2"/>
      <c r="H10" s="6">
        <v>1331.74</v>
      </c>
      <c r="I10" s="7"/>
      <c r="J10" s="6">
        <v>1800</v>
      </c>
      <c r="K10" s="7"/>
      <c r="L10" s="8">
        <f>ROUND(IF(J10=0, IF(H10=0, 0, 1), H10/J10),5)</f>
        <v>0.73985999999999996</v>
      </c>
      <c r="M10" s="7"/>
      <c r="N10" s="6">
        <v>0</v>
      </c>
      <c r="O10" s="7"/>
      <c r="P10" s="6"/>
      <c r="Q10" s="7"/>
      <c r="R10" s="8"/>
      <c r="S10" s="7"/>
      <c r="T10" s="6">
        <v>397.43</v>
      </c>
      <c r="U10" s="7"/>
      <c r="V10" s="6">
        <v>360</v>
      </c>
      <c r="W10" s="7"/>
      <c r="X10" s="8">
        <f>ROUND(IF(V10=0, IF(T10=0, 0, 1), T10/V10),5)</f>
        <v>1.1039699999999999</v>
      </c>
      <c r="Y10" s="7"/>
      <c r="Z10" s="6">
        <f t="shared" si="0"/>
        <v>1729.17</v>
      </c>
      <c r="AA10" s="7"/>
      <c r="AB10" s="6">
        <f t="shared" si="1"/>
        <v>2160</v>
      </c>
      <c r="AC10" s="7"/>
      <c r="AD10" s="8">
        <f t="shared" si="2"/>
        <v>0.80054000000000003</v>
      </c>
    </row>
    <row r="11" spans="1:30" ht="15" outlineLevel="2" thickBot="1" x14ac:dyDescent="0.4">
      <c r="A11" s="2"/>
      <c r="B11" s="2"/>
      <c r="C11" s="2"/>
      <c r="D11" s="2"/>
      <c r="E11" s="2"/>
      <c r="F11" s="2" t="s">
        <v>14</v>
      </c>
      <c r="G11" s="2"/>
      <c r="H11" s="9">
        <v>0</v>
      </c>
      <c r="I11" s="7"/>
      <c r="J11" s="9"/>
      <c r="K11" s="7"/>
      <c r="L11" s="10"/>
      <c r="M11" s="7"/>
      <c r="N11" s="9">
        <v>0</v>
      </c>
      <c r="O11" s="7"/>
      <c r="P11" s="6"/>
      <c r="Q11" s="7"/>
      <c r="R11" s="8"/>
      <c r="S11" s="7"/>
      <c r="T11" s="9">
        <v>561.6</v>
      </c>
      <c r="U11" s="7"/>
      <c r="V11" s="9">
        <v>840</v>
      </c>
      <c r="W11" s="7"/>
      <c r="X11" s="10">
        <f>ROUND(IF(V11=0, IF(T11=0, 0, 1), T11/V11),5)</f>
        <v>0.66857</v>
      </c>
      <c r="Y11" s="7"/>
      <c r="Z11" s="9">
        <f t="shared" si="0"/>
        <v>561.6</v>
      </c>
      <c r="AA11" s="7"/>
      <c r="AB11" s="9">
        <f t="shared" si="1"/>
        <v>840</v>
      </c>
      <c r="AC11" s="7"/>
      <c r="AD11" s="10">
        <f t="shared" si="2"/>
        <v>0.66857</v>
      </c>
    </row>
    <row r="12" spans="1:30" outlineLevel="1" x14ac:dyDescent="0.35">
      <c r="A12" s="2"/>
      <c r="B12" s="2"/>
      <c r="C12" s="2"/>
      <c r="D12" s="2"/>
      <c r="E12" s="2" t="s">
        <v>15</v>
      </c>
      <c r="F12" s="2"/>
      <c r="G12" s="2"/>
      <c r="H12" s="6">
        <f>ROUND(SUM(H5:H11),5)</f>
        <v>210098.31</v>
      </c>
      <c r="I12" s="7"/>
      <c r="J12" s="6">
        <f>ROUND(SUM(J5:J11),5)</f>
        <v>215000.04</v>
      </c>
      <c r="K12" s="7"/>
      <c r="L12" s="8">
        <f>ROUND(IF(J12=0, IF(H12=0, 0, 1), H12/J12),5)</f>
        <v>0.97719999999999996</v>
      </c>
      <c r="M12" s="7"/>
      <c r="N12" s="6">
        <f>ROUND(SUM(N5:N11),5)</f>
        <v>0</v>
      </c>
      <c r="O12" s="7"/>
      <c r="P12" s="6"/>
      <c r="Q12" s="7"/>
      <c r="R12" s="8"/>
      <c r="S12" s="7"/>
      <c r="T12" s="6">
        <f>ROUND(SUM(T5:T11),5)</f>
        <v>15766.03</v>
      </c>
      <c r="U12" s="7"/>
      <c r="V12" s="6">
        <f>ROUND(SUM(V5:V11),5)</f>
        <v>17400</v>
      </c>
      <c r="W12" s="7"/>
      <c r="X12" s="8">
        <f>ROUND(IF(V12=0, IF(T12=0, 0, 1), T12/V12),5)</f>
        <v>0.90608999999999995</v>
      </c>
      <c r="Y12" s="7"/>
      <c r="Z12" s="6">
        <f t="shared" si="0"/>
        <v>225864.34</v>
      </c>
      <c r="AA12" s="7"/>
      <c r="AB12" s="6">
        <f t="shared" si="1"/>
        <v>232400.04</v>
      </c>
      <c r="AC12" s="7"/>
      <c r="AD12" s="8">
        <f t="shared" si="2"/>
        <v>0.97187999999999997</v>
      </c>
    </row>
    <row r="13" spans="1:30" outlineLevel="2" x14ac:dyDescent="0.35">
      <c r="A13" s="2"/>
      <c r="B13" s="2"/>
      <c r="C13" s="2"/>
      <c r="D13" s="2"/>
      <c r="E13" s="2" t="s">
        <v>16</v>
      </c>
      <c r="F13" s="2"/>
      <c r="G13" s="2"/>
      <c r="H13" s="6"/>
      <c r="I13" s="7"/>
      <c r="J13" s="6"/>
      <c r="K13" s="7"/>
      <c r="L13" s="8"/>
      <c r="M13" s="7"/>
      <c r="N13" s="6"/>
      <c r="O13" s="7"/>
      <c r="P13" s="6"/>
      <c r="Q13" s="7"/>
      <c r="R13" s="8"/>
      <c r="S13" s="7"/>
      <c r="T13" s="6"/>
      <c r="U13" s="7"/>
      <c r="V13" s="6"/>
      <c r="W13" s="7"/>
      <c r="X13" s="8"/>
      <c r="Y13" s="7"/>
      <c r="Z13" s="6"/>
      <c r="AA13" s="7"/>
      <c r="AB13" s="6"/>
      <c r="AC13" s="7"/>
      <c r="AD13" s="8"/>
    </row>
    <row r="14" spans="1:30" outlineLevel="2" x14ac:dyDescent="0.35">
      <c r="A14" s="2"/>
      <c r="B14" s="2"/>
      <c r="C14" s="2"/>
      <c r="D14" s="2"/>
      <c r="E14" s="2"/>
      <c r="F14" s="2" t="s">
        <v>17</v>
      </c>
      <c r="G14" s="2"/>
      <c r="H14" s="6">
        <v>0</v>
      </c>
      <c r="I14" s="7"/>
      <c r="J14" s="6">
        <v>0</v>
      </c>
      <c r="K14" s="7"/>
      <c r="L14" s="8">
        <f>ROUND(IF(J14=0, IF(H14=0, 0, 1), H14/J14),5)</f>
        <v>0</v>
      </c>
      <c r="M14" s="7"/>
      <c r="N14" s="6">
        <v>0</v>
      </c>
      <c r="O14" s="7"/>
      <c r="P14" s="6"/>
      <c r="Q14" s="7"/>
      <c r="R14" s="8"/>
      <c r="S14" s="7"/>
      <c r="T14" s="6">
        <v>144</v>
      </c>
      <c r="U14" s="7"/>
      <c r="V14" s="6">
        <v>144</v>
      </c>
      <c r="W14" s="7"/>
      <c r="X14" s="8">
        <f>ROUND(IF(V14=0, IF(T14=0, 0, 1), T14/V14),5)</f>
        <v>1</v>
      </c>
      <c r="Y14" s="7"/>
      <c r="Z14" s="6">
        <f>ROUND(H14+N14+T14,5)</f>
        <v>144</v>
      </c>
      <c r="AA14" s="7"/>
      <c r="AB14" s="6">
        <f>ROUND(J14+P14+V14,5)</f>
        <v>144</v>
      </c>
      <c r="AC14" s="7"/>
      <c r="AD14" s="8">
        <f>ROUND(IF(AB14=0, IF(Z14=0, 0, 1), Z14/AB14),5)</f>
        <v>1</v>
      </c>
    </row>
    <row r="15" spans="1:30" ht="15" outlineLevel="2" thickBot="1" x14ac:dyDescent="0.4">
      <c r="A15" s="2"/>
      <c r="B15" s="2"/>
      <c r="C15" s="2"/>
      <c r="D15" s="2"/>
      <c r="E15" s="2"/>
      <c r="F15" s="2" t="s">
        <v>18</v>
      </c>
      <c r="G15" s="2"/>
      <c r="H15" s="9">
        <v>0</v>
      </c>
      <c r="I15" s="7"/>
      <c r="J15" s="9"/>
      <c r="K15" s="7"/>
      <c r="L15" s="10"/>
      <c r="M15" s="7"/>
      <c r="N15" s="9">
        <v>0</v>
      </c>
      <c r="O15" s="7"/>
      <c r="P15" s="6"/>
      <c r="Q15" s="7"/>
      <c r="R15" s="8"/>
      <c r="S15" s="7"/>
      <c r="T15" s="9">
        <v>67896</v>
      </c>
      <c r="U15" s="7"/>
      <c r="V15" s="9">
        <v>67536</v>
      </c>
      <c r="W15" s="7"/>
      <c r="X15" s="10">
        <f>ROUND(IF(V15=0, IF(T15=0, 0, 1), T15/V15),5)</f>
        <v>1.0053300000000001</v>
      </c>
      <c r="Y15" s="7"/>
      <c r="Z15" s="9">
        <f>ROUND(H15+N15+T15,5)</f>
        <v>67896</v>
      </c>
      <c r="AA15" s="7"/>
      <c r="AB15" s="9">
        <f>ROUND(J15+P15+V15,5)</f>
        <v>67536</v>
      </c>
      <c r="AC15" s="7"/>
      <c r="AD15" s="10">
        <f>ROUND(IF(AB15=0, IF(Z15=0, 0, 1), Z15/AB15),5)</f>
        <v>1.0053300000000001</v>
      </c>
    </row>
    <row r="16" spans="1:30" outlineLevel="1" x14ac:dyDescent="0.35">
      <c r="A16" s="2"/>
      <c r="B16" s="2"/>
      <c r="C16" s="2"/>
      <c r="D16" s="2"/>
      <c r="E16" s="2" t="s">
        <v>19</v>
      </c>
      <c r="F16" s="2"/>
      <c r="G16" s="2"/>
      <c r="H16" s="6">
        <f>ROUND(SUM(H13:H15),5)</f>
        <v>0</v>
      </c>
      <c r="I16" s="7"/>
      <c r="J16" s="6">
        <f>ROUND(SUM(J13:J15),5)</f>
        <v>0</v>
      </c>
      <c r="K16" s="7"/>
      <c r="L16" s="8">
        <f>ROUND(IF(J16=0, IF(H16=0, 0, 1), H16/J16),5)</f>
        <v>0</v>
      </c>
      <c r="M16" s="7"/>
      <c r="N16" s="6">
        <f>ROUND(SUM(N13:N15),5)</f>
        <v>0</v>
      </c>
      <c r="O16" s="7"/>
      <c r="P16" s="6"/>
      <c r="Q16" s="7"/>
      <c r="R16" s="8"/>
      <c r="S16" s="7"/>
      <c r="T16" s="6">
        <f>ROUND(SUM(T13:T15),5)</f>
        <v>68040</v>
      </c>
      <c r="U16" s="7"/>
      <c r="V16" s="6">
        <f>ROUND(SUM(V13:V15),5)</f>
        <v>67680</v>
      </c>
      <c r="W16" s="7"/>
      <c r="X16" s="8">
        <f>ROUND(IF(V16=0, IF(T16=0, 0, 1), T16/V16),5)</f>
        <v>1.00532</v>
      </c>
      <c r="Y16" s="7"/>
      <c r="Z16" s="6">
        <f>ROUND(H16+N16+T16,5)</f>
        <v>68040</v>
      </c>
      <c r="AA16" s="7"/>
      <c r="AB16" s="6">
        <f>ROUND(J16+P16+V16,5)</f>
        <v>67680</v>
      </c>
      <c r="AC16" s="7"/>
      <c r="AD16" s="8">
        <f>ROUND(IF(AB16=0, IF(Z16=0, 0, 1), Z16/AB16),5)</f>
        <v>1.00532</v>
      </c>
    </row>
    <row r="17" spans="1:30" outlineLevel="1" x14ac:dyDescent="0.35">
      <c r="A17" s="2"/>
      <c r="B17" s="2"/>
      <c r="C17" s="2"/>
      <c r="D17" s="2"/>
      <c r="E17" s="2" t="s">
        <v>25</v>
      </c>
      <c r="F17" s="2"/>
      <c r="G17" s="2"/>
      <c r="H17" s="6">
        <v>10624.79</v>
      </c>
      <c r="I17" s="7"/>
      <c r="J17" s="6">
        <v>10800</v>
      </c>
      <c r="K17" s="7"/>
      <c r="L17" s="8">
        <f>ROUND(IF(J17=0, IF(H17=0, 0, 1), H17/J17),5)</f>
        <v>0.98377999999999999</v>
      </c>
      <c r="M17" s="7"/>
      <c r="N17" s="6">
        <v>0</v>
      </c>
      <c r="O17" s="7"/>
      <c r="P17" s="6"/>
      <c r="Q17" s="7"/>
      <c r="R17" s="8"/>
      <c r="S17" s="7"/>
      <c r="T17" s="6">
        <v>0</v>
      </c>
      <c r="U17" s="7"/>
      <c r="V17" s="6"/>
      <c r="W17" s="7"/>
      <c r="X17" s="8"/>
      <c r="Y17" s="7"/>
      <c r="Z17" s="6">
        <f>ROUND(H17+N17+T17,5)</f>
        <v>10624.79</v>
      </c>
      <c r="AA17" s="7"/>
      <c r="AB17" s="6">
        <f>ROUND(J17+P17+V17,5)</f>
        <v>10800</v>
      </c>
      <c r="AC17" s="7"/>
      <c r="AD17" s="8">
        <f>ROUND(IF(AB17=0, IF(Z17=0, 0, 1), Z17/AB17),5)</f>
        <v>0.98377999999999999</v>
      </c>
    </row>
    <row r="18" spans="1:30" outlineLevel="2" x14ac:dyDescent="0.35">
      <c r="A18" s="2"/>
      <c r="B18" s="2"/>
      <c r="C18" s="2"/>
      <c r="D18" s="2"/>
      <c r="E18" s="2" t="s">
        <v>26</v>
      </c>
      <c r="F18" s="2"/>
      <c r="G18" s="2"/>
      <c r="H18" s="6"/>
      <c r="I18" s="7"/>
      <c r="J18" s="6"/>
      <c r="K18" s="7"/>
      <c r="L18" s="8"/>
      <c r="M18" s="7"/>
      <c r="N18" s="6"/>
      <c r="O18" s="7"/>
      <c r="P18" s="6"/>
      <c r="Q18" s="7"/>
      <c r="R18" s="8"/>
      <c r="S18" s="7"/>
      <c r="T18" s="6"/>
      <c r="U18" s="7"/>
      <c r="V18" s="6"/>
      <c r="W18" s="7"/>
      <c r="X18" s="8"/>
      <c r="Y18" s="7"/>
      <c r="Z18" s="6"/>
      <c r="AA18" s="7"/>
      <c r="AB18" s="6"/>
      <c r="AC18" s="7"/>
      <c r="AD18" s="8"/>
    </row>
    <row r="19" spans="1:30" outlineLevel="2" x14ac:dyDescent="0.35">
      <c r="A19" s="2"/>
      <c r="B19" s="2"/>
      <c r="C19" s="2"/>
      <c r="D19" s="2"/>
      <c r="E19" s="2"/>
      <c r="F19" s="2" t="s">
        <v>28</v>
      </c>
      <c r="G19" s="2"/>
      <c r="H19" s="6">
        <v>160</v>
      </c>
      <c r="I19" s="7"/>
      <c r="J19" s="6"/>
      <c r="K19" s="7"/>
      <c r="L19" s="8"/>
      <c r="M19" s="7"/>
      <c r="N19" s="6">
        <v>0</v>
      </c>
      <c r="O19" s="7"/>
      <c r="P19" s="6"/>
      <c r="Q19" s="7"/>
      <c r="R19" s="8"/>
      <c r="S19" s="7"/>
      <c r="T19" s="6">
        <v>0</v>
      </c>
      <c r="U19" s="7"/>
      <c r="V19" s="6"/>
      <c r="W19" s="7"/>
      <c r="X19" s="8"/>
      <c r="Y19" s="7"/>
      <c r="Z19" s="6">
        <f t="shared" ref="Z19:Z24" si="3">ROUND(H19+N19+T19,5)</f>
        <v>160</v>
      </c>
      <c r="AA19" s="7"/>
      <c r="AB19" s="6">
        <f t="shared" ref="AB19:AB24" si="4">ROUND(J19+P19+V19,5)</f>
        <v>0</v>
      </c>
      <c r="AC19" s="7"/>
      <c r="AD19" s="8">
        <f t="shared" ref="AD19:AD24" si="5">ROUND(IF(AB19=0, IF(Z19=0, 0, 1), Z19/AB19),5)</f>
        <v>1</v>
      </c>
    </row>
    <row r="20" spans="1:30" ht="15" outlineLevel="2" thickBot="1" x14ac:dyDescent="0.4">
      <c r="A20" s="2"/>
      <c r="B20" s="2"/>
      <c r="C20" s="2"/>
      <c r="D20" s="2"/>
      <c r="E20" s="2"/>
      <c r="F20" s="2" t="s">
        <v>90</v>
      </c>
      <c r="G20" s="2"/>
      <c r="H20" s="9">
        <v>950</v>
      </c>
      <c r="I20" s="7"/>
      <c r="J20" s="9">
        <v>300</v>
      </c>
      <c r="K20" s="7"/>
      <c r="L20" s="10">
        <f>ROUND(IF(J20=0, IF(H20=0, 0, 1), H20/J20),5)</f>
        <v>3.1666699999999999</v>
      </c>
      <c r="M20" s="7"/>
      <c r="N20" s="9">
        <v>0</v>
      </c>
      <c r="O20" s="7"/>
      <c r="P20" s="6"/>
      <c r="Q20" s="7"/>
      <c r="R20" s="8"/>
      <c r="S20" s="7"/>
      <c r="T20" s="9">
        <v>0</v>
      </c>
      <c r="U20" s="7"/>
      <c r="V20" s="9">
        <v>0</v>
      </c>
      <c r="W20" s="7"/>
      <c r="X20" s="10">
        <f>ROUND(IF(V20=0, IF(T20=0, 0, 1), T20/V20),5)</f>
        <v>0</v>
      </c>
      <c r="Y20" s="7"/>
      <c r="Z20" s="9">
        <f t="shared" si="3"/>
        <v>950</v>
      </c>
      <c r="AA20" s="7"/>
      <c r="AB20" s="9">
        <f t="shared" si="4"/>
        <v>300</v>
      </c>
      <c r="AC20" s="7"/>
      <c r="AD20" s="10">
        <f t="shared" si="5"/>
        <v>3.1666699999999999</v>
      </c>
    </row>
    <row r="21" spans="1:30" outlineLevel="1" x14ac:dyDescent="0.35">
      <c r="A21" s="2"/>
      <c r="B21" s="2"/>
      <c r="C21" s="2"/>
      <c r="D21" s="2"/>
      <c r="E21" s="2" t="s">
        <v>29</v>
      </c>
      <c r="F21" s="2"/>
      <c r="G21" s="2"/>
      <c r="H21" s="6">
        <f>ROUND(SUM(H18:H20),5)</f>
        <v>1110</v>
      </c>
      <c r="I21" s="7"/>
      <c r="J21" s="6">
        <f>ROUND(SUM(J18:J20),5)</f>
        <v>300</v>
      </c>
      <c r="K21" s="7"/>
      <c r="L21" s="8">
        <f>ROUND(IF(J21=0, IF(H21=0, 0, 1), H21/J21),5)</f>
        <v>3.7</v>
      </c>
      <c r="M21" s="7"/>
      <c r="N21" s="6">
        <f>ROUND(SUM(N18:N20),5)</f>
        <v>0</v>
      </c>
      <c r="O21" s="7"/>
      <c r="P21" s="6"/>
      <c r="Q21" s="7"/>
      <c r="R21" s="8"/>
      <c r="S21" s="7"/>
      <c r="T21" s="6">
        <f>ROUND(SUM(T18:T20),5)</f>
        <v>0</v>
      </c>
      <c r="U21" s="7"/>
      <c r="V21" s="6">
        <f>ROUND(SUM(V18:V20),5)</f>
        <v>0</v>
      </c>
      <c r="W21" s="7"/>
      <c r="X21" s="8">
        <f>ROUND(IF(V21=0, IF(T21=0, 0, 1), T21/V21),5)</f>
        <v>0</v>
      </c>
      <c r="Y21" s="7"/>
      <c r="Z21" s="6">
        <f t="shared" si="3"/>
        <v>1110</v>
      </c>
      <c r="AA21" s="7"/>
      <c r="AB21" s="6">
        <f t="shared" si="4"/>
        <v>300</v>
      </c>
      <c r="AC21" s="7"/>
      <c r="AD21" s="8">
        <f t="shared" si="5"/>
        <v>3.7</v>
      </c>
    </row>
    <row r="22" spans="1:30" ht="15" outlineLevel="1" thickBot="1" x14ac:dyDescent="0.4">
      <c r="A22" s="2"/>
      <c r="B22" s="2"/>
      <c r="C22" s="2"/>
      <c r="D22" s="2"/>
      <c r="E22" s="2" t="s">
        <v>30</v>
      </c>
      <c r="F22" s="2"/>
      <c r="G22" s="2"/>
      <c r="H22" s="6">
        <v>0</v>
      </c>
      <c r="I22" s="7"/>
      <c r="J22" s="6"/>
      <c r="K22" s="7"/>
      <c r="L22" s="8"/>
      <c r="M22" s="7"/>
      <c r="N22" s="6">
        <v>0</v>
      </c>
      <c r="O22" s="7"/>
      <c r="P22" s="6"/>
      <c r="Q22" s="7"/>
      <c r="R22" s="8"/>
      <c r="S22" s="7"/>
      <c r="T22" s="6">
        <v>818.37</v>
      </c>
      <c r="U22" s="7"/>
      <c r="V22" s="6"/>
      <c r="W22" s="7"/>
      <c r="X22" s="8"/>
      <c r="Y22" s="7"/>
      <c r="Z22" s="6">
        <f t="shared" si="3"/>
        <v>818.37</v>
      </c>
      <c r="AA22" s="7"/>
      <c r="AB22" s="6">
        <f t="shared" si="4"/>
        <v>0</v>
      </c>
      <c r="AC22" s="7"/>
      <c r="AD22" s="8">
        <f t="shared" si="5"/>
        <v>1</v>
      </c>
    </row>
    <row r="23" spans="1:30" ht="15" thickBot="1" x14ac:dyDescent="0.4">
      <c r="A23" s="2"/>
      <c r="B23" s="2"/>
      <c r="C23" s="2"/>
      <c r="D23" s="2" t="s">
        <v>31</v>
      </c>
      <c r="E23" s="2"/>
      <c r="F23" s="2"/>
      <c r="G23" s="2"/>
      <c r="H23" s="11">
        <f>ROUND(H4+H12+SUM(H16:H17)+SUM(H21:H22),5)</f>
        <v>221833.1</v>
      </c>
      <c r="I23" s="7"/>
      <c r="J23" s="11">
        <f>ROUND(J4+J12+SUM(J16:J17)+SUM(J21:J22),5)</f>
        <v>226100.04</v>
      </c>
      <c r="K23" s="7"/>
      <c r="L23" s="12">
        <f>ROUND(IF(J23=0, IF(H23=0, 0, 1), H23/J23),5)</f>
        <v>0.98112999999999995</v>
      </c>
      <c r="M23" s="7"/>
      <c r="N23" s="11">
        <f>ROUND(N4+N12+SUM(N16:N17)+SUM(N21:N22),5)</f>
        <v>0</v>
      </c>
      <c r="O23" s="7"/>
      <c r="P23" s="11">
        <f>ROUND(P4+P12+SUM(P16:P17)+SUM(P21:P22),5)</f>
        <v>0</v>
      </c>
      <c r="Q23" s="7"/>
      <c r="R23" s="12">
        <f>ROUND(IF(P23=0, IF(N23=0, 0, 1), N23/P23),5)</f>
        <v>0</v>
      </c>
      <c r="S23" s="7"/>
      <c r="T23" s="11">
        <f>ROUND(T4+T12+SUM(T16:T17)+SUM(T21:T22),5)</f>
        <v>84624.4</v>
      </c>
      <c r="U23" s="7"/>
      <c r="V23" s="11">
        <f>ROUND(V4+V12+SUM(V16:V17)+SUM(V21:V22),5)</f>
        <v>85080</v>
      </c>
      <c r="W23" s="7"/>
      <c r="X23" s="12">
        <f>ROUND(IF(V23=0, IF(T23=0, 0, 1), T23/V23),5)</f>
        <v>0.99465000000000003</v>
      </c>
      <c r="Y23" s="7"/>
      <c r="Z23" s="11">
        <f t="shared" si="3"/>
        <v>306457.5</v>
      </c>
      <c r="AA23" s="7"/>
      <c r="AB23" s="11">
        <f t="shared" si="4"/>
        <v>311180.03999999998</v>
      </c>
      <c r="AC23" s="7"/>
      <c r="AD23" s="12">
        <f t="shared" si="5"/>
        <v>0.98482000000000003</v>
      </c>
    </row>
    <row r="24" spans="1:30" x14ac:dyDescent="0.35">
      <c r="A24" s="2"/>
      <c r="B24" s="2"/>
      <c r="C24" s="2" t="s">
        <v>32</v>
      </c>
      <c r="D24" s="2"/>
      <c r="E24" s="2"/>
      <c r="F24" s="2"/>
      <c r="G24" s="2"/>
      <c r="H24" s="6">
        <f>H23</f>
        <v>221833.1</v>
      </c>
      <c r="I24" s="7"/>
      <c r="J24" s="6">
        <f>J23</f>
        <v>226100.04</v>
      </c>
      <c r="K24" s="7"/>
      <c r="L24" s="8">
        <f>ROUND(IF(J24=0, IF(H24=0, 0, 1), H24/J24),5)</f>
        <v>0.98112999999999995</v>
      </c>
      <c r="M24" s="7"/>
      <c r="N24" s="6">
        <f>N23</f>
        <v>0</v>
      </c>
      <c r="O24" s="7"/>
      <c r="P24" s="6">
        <f>P23</f>
        <v>0</v>
      </c>
      <c r="Q24" s="7"/>
      <c r="R24" s="8">
        <f>ROUND(IF(P24=0, IF(N24=0, 0, 1), N24/P24),5)</f>
        <v>0</v>
      </c>
      <c r="S24" s="7"/>
      <c r="T24" s="6">
        <f>T23</f>
        <v>84624.4</v>
      </c>
      <c r="U24" s="7"/>
      <c r="V24" s="6">
        <f>V23</f>
        <v>85080</v>
      </c>
      <c r="W24" s="7"/>
      <c r="X24" s="8">
        <f>ROUND(IF(V24=0, IF(T24=0, 0, 1), T24/V24),5)</f>
        <v>0.99465000000000003</v>
      </c>
      <c r="Y24" s="7"/>
      <c r="Z24" s="6">
        <f t="shared" si="3"/>
        <v>306457.5</v>
      </c>
      <c r="AA24" s="7"/>
      <c r="AB24" s="6">
        <f t="shared" si="4"/>
        <v>311180.03999999998</v>
      </c>
      <c r="AC24" s="7"/>
      <c r="AD24" s="8">
        <f t="shared" si="5"/>
        <v>0.98482000000000003</v>
      </c>
    </row>
    <row r="25" spans="1:30" outlineLevel="1" x14ac:dyDescent="0.35">
      <c r="A25" s="2"/>
      <c r="B25" s="2"/>
      <c r="C25" s="2"/>
      <c r="D25" s="2" t="s">
        <v>33</v>
      </c>
      <c r="E25" s="2"/>
      <c r="F25" s="2"/>
      <c r="G25" s="2"/>
      <c r="H25" s="6"/>
      <c r="I25" s="7"/>
      <c r="J25" s="6"/>
      <c r="K25" s="7"/>
      <c r="L25" s="8"/>
      <c r="M25" s="7"/>
      <c r="N25" s="6"/>
      <c r="O25" s="7"/>
      <c r="P25" s="6"/>
      <c r="Q25" s="7"/>
      <c r="R25" s="8"/>
      <c r="S25" s="7"/>
      <c r="T25" s="6"/>
      <c r="U25" s="7"/>
      <c r="V25" s="6"/>
      <c r="W25" s="7"/>
      <c r="X25" s="8"/>
      <c r="Y25" s="7"/>
      <c r="Z25" s="6"/>
      <c r="AA25" s="7"/>
      <c r="AB25" s="6"/>
      <c r="AC25" s="7"/>
      <c r="AD25" s="8"/>
    </row>
    <row r="26" spans="1:30" outlineLevel="1" x14ac:dyDescent="0.35">
      <c r="A26" s="2"/>
      <c r="B26" s="2"/>
      <c r="C26" s="2"/>
      <c r="D26" s="2"/>
      <c r="E26" s="2" t="s">
        <v>34</v>
      </c>
      <c r="F26" s="2"/>
      <c r="G26" s="2"/>
      <c r="H26" s="6">
        <v>103072.66</v>
      </c>
      <c r="I26" s="7"/>
      <c r="J26" s="6">
        <v>103000.2</v>
      </c>
      <c r="K26" s="7"/>
      <c r="L26" s="8">
        <f>ROUND(IF(J26=0, IF(H26=0, 0, 1), H26/J26),5)</f>
        <v>1.0006999999999999</v>
      </c>
      <c r="M26" s="7"/>
      <c r="N26" s="6">
        <v>0</v>
      </c>
      <c r="O26" s="7"/>
      <c r="P26" s="6"/>
      <c r="Q26" s="7"/>
      <c r="R26" s="8"/>
      <c r="S26" s="7"/>
      <c r="T26" s="6">
        <v>0</v>
      </c>
      <c r="U26" s="7"/>
      <c r="V26" s="6"/>
      <c r="W26" s="7"/>
      <c r="X26" s="8"/>
      <c r="Y26" s="7"/>
      <c r="Z26" s="6">
        <f>ROUND(H26+N26+T26,5)</f>
        <v>103072.66</v>
      </c>
      <c r="AA26" s="7"/>
      <c r="AB26" s="6">
        <f>ROUND(J26+P26+V26,5)</f>
        <v>103000.2</v>
      </c>
      <c r="AC26" s="7"/>
      <c r="AD26" s="8">
        <f>ROUND(IF(AB26=0, IF(Z26=0, 0, 1), Z26/AB26),5)</f>
        <v>1.0006999999999999</v>
      </c>
    </row>
    <row r="27" spans="1:30" outlineLevel="2" x14ac:dyDescent="0.35">
      <c r="A27" s="2"/>
      <c r="B27" s="2"/>
      <c r="C27" s="2"/>
      <c r="D27" s="2"/>
      <c r="E27" s="2" t="s">
        <v>35</v>
      </c>
      <c r="F27" s="2"/>
      <c r="G27" s="2"/>
      <c r="H27" s="6"/>
      <c r="I27" s="7"/>
      <c r="J27" s="6"/>
      <c r="K27" s="7"/>
      <c r="L27" s="8"/>
      <c r="M27" s="7"/>
      <c r="N27" s="6"/>
      <c r="O27" s="7"/>
      <c r="P27" s="6"/>
      <c r="Q27" s="7"/>
      <c r="R27" s="8"/>
      <c r="S27" s="7"/>
      <c r="T27" s="6"/>
      <c r="U27" s="7"/>
      <c r="V27" s="6"/>
      <c r="W27" s="7"/>
      <c r="X27" s="8"/>
      <c r="Y27" s="7"/>
      <c r="Z27" s="6"/>
      <c r="AA27" s="7"/>
      <c r="AB27" s="6"/>
      <c r="AC27" s="7"/>
      <c r="AD27" s="8"/>
    </row>
    <row r="28" spans="1:30" outlineLevel="2" x14ac:dyDescent="0.35">
      <c r="A28" s="2"/>
      <c r="B28" s="2"/>
      <c r="C28" s="2"/>
      <c r="D28" s="2"/>
      <c r="E28" s="2"/>
      <c r="F28" s="2" t="s">
        <v>36</v>
      </c>
      <c r="G28" s="2"/>
      <c r="H28" s="6">
        <v>4961.1899999999996</v>
      </c>
      <c r="I28" s="7"/>
      <c r="J28" s="6">
        <v>3999.96</v>
      </c>
      <c r="K28" s="7"/>
      <c r="L28" s="8">
        <f>ROUND(IF(J28=0, IF(H28=0, 0, 1), H28/J28),5)</f>
        <v>1.24031</v>
      </c>
      <c r="M28" s="7"/>
      <c r="N28" s="6">
        <v>0</v>
      </c>
      <c r="O28" s="7"/>
      <c r="P28" s="6"/>
      <c r="Q28" s="7"/>
      <c r="R28" s="8"/>
      <c r="S28" s="7"/>
      <c r="T28" s="6">
        <v>0</v>
      </c>
      <c r="U28" s="7"/>
      <c r="V28" s="6"/>
      <c r="W28" s="7"/>
      <c r="X28" s="8"/>
      <c r="Y28" s="7"/>
      <c r="Z28" s="6">
        <f>ROUND(H28+N28+T28,5)</f>
        <v>4961.1899999999996</v>
      </c>
      <c r="AA28" s="7"/>
      <c r="AB28" s="6">
        <f>ROUND(J28+P28+V28,5)</f>
        <v>3999.96</v>
      </c>
      <c r="AC28" s="7"/>
      <c r="AD28" s="8">
        <f>ROUND(IF(AB28=0, IF(Z28=0, 0, 1), Z28/AB28),5)</f>
        <v>1.24031</v>
      </c>
    </row>
    <row r="29" spans="1:30" outlineLevel="3" x14ac:dyDescent="0.35">
      <c r="A29" s="2"/>
      <c r="B29" s="2"/>
      <c r="C29" s="2"/>
      <c r="D29" s="2"/>
      <c r="E29" s="2"/>
      <c r="F29" s="2" t="s">
        <v>37</v>
      </c>
      <c r="G29" s="2"/>
      <c r="H29" s="6"/>
      <c r="I29" s="7"/>
      <c r="J29" s="6"/>
      <c r="K29" s="7"/>
      <c r="L29" s="8"/>
      <c r="M29" s="7"/>
      <c r="N29" s="6"/>
      <c r="O29" s="7"/>
      <c r="P29" s="6"/>
      <c r="Q29" s="7"/>
      <c r="R29" s="8"/>
      <c r="S29" s="7"/>
      <c r="T29" s="6"/>
      <c r="U29" s="7"/>
      <c r="V29" s="6"/>
      <c r="W29" s="7"/>
      <c r="X29" s="8"/>
      <c r="Y29" s="7"/>
      <c r="Z29" s="6"/>
      <c r="AA29" s="7"/>
      <c r="AB29" s="6"/>
      <c r="AC29" s="7"/>
      <c r="AD29" s="8"/>
    </row>
    <row r="30" spans="1:30" outlineLevel="3" x14ac:dyDescent="0.35">
      <c r="A30" s="2"/>
      <c r="B30" s="2"/>
      <c r="C30" s="2"/>
      <c r="D30" s="2"/>
      <c r="E30" s="2"/>
      <c r="F30" s="2"/>
      <c r="G30" s="2" t="s">
        <v>38</v>
      </c>
      <c r="H30" s="6">
        <v>2090</v>
      </c>
      <c r="I30" s="7"/>
      <c r="J30" s="6">
        <v>3320</v>
      </c>
      <c r="K30" s="7"/>
      <c r="L30" s="8">
        <f>ROUND(IF(J30=0, IF(H30=0, 0, 1), H30/J30),5)</f>
        <v>0.62951999999999997</v>
      </c>
      <c r="M30" s="7"/>
      <c r="N30" s="6">
        <v>0</v>
      </c>
      <c r="O30" s="7"/>
      <c r="P30" s="6"/>
      <c r="Q30" s="7"/>
      <c r="R30" s="8"/>
      <c r="S30" s="7"/>
      <c r="T30" s="6">
        <v>0</v>
      </c>
      <c r="U30" s="7"/>
      <c r="V30" s="6"/>
      <c r="W30" s="7"/>
      <c r="X30" s="8"/>
      <c r="Y30" s="7"/>
      <c r="Z30" s="6">
        <f>ROUND(H30+N30+T30,5)</f>
        <v>2090</v>
      </c>
      <c r="AA30" s="7"/>
      <c r="AB30" s="6">
        <f>ROUND(J30+P30+V30,5)</f>
        <v>3320</v>
      </c>
      <c r="AC30" s="7"/>
      <c r="AD30" s="8">
        <f>ROUND(IF(AB30=0, IF(Z30=0, 0, 1), Z30/AB30),5)</f>
        <v>0.62951999999999997</v>
      </c>
    </row>
    <row r="31" spans="1:30" outlineLevel="3" x14ac:dyDescent="0.35">
      <c r="A31" s="2"/>
      <c r="B31" s="2"/>
      <c r="C31" s="2"/>
      <c r="D31" s="2"/>
      <c r="E31" s="2"/>
      <c r="F31" s="2"/>
      <c r="G31" s="2" t="s">
        <v>39</v>
      </c>
      <c r="H31" s="6">
        <v>324.31</v>
      </c>
      <c r="I31" s="7"/>
      <c r="J31" s="6">
        <v>180</v>
      </c>
      <c r="K31" s="7"/>
      <c r="L31" s="8">
        <f>ROUND(IF(J31=0, IF(H31=0, 0, 1), H31/J31),5)</f>
        <v>1.80172</v>
      </c>
      <c r="M31" s="7"/>
      <c r="N31" s="6">
        <v>0</v>
      </c>
      <c r="O31" s="7"/>
      <c r="P31" s="6"/>
      <c r="Q31" s="7"/>
      <c r="R31" s="8"/>
      <c r="S31" s="7"/>
      <c r="T31" s="6">
        <v>0</v>
      </c>
      <c r="U31" s="7"/>
      <c r="V31" s="6"/>
      <c r="W31" s="7"/>
      <c r="X31" s="8"/>
      <c r="Y31" s="7"/>
      <c r="Z31" s="6">
        <f>ROUND(H31+N31+T31,5)</f>
        <v>324.31</v>
      </c>
      <c r="AA31" s="7"/>
      <c r="AB31" s="6">
        <f>ROUND(J31+P31+V31,5)</f>
        <v>180</v>
      </c>
      <c r="AC31" s="7"/>
      <c r="AD31" s="8">
        <f>ROUND(IF(AB31=0, IF(Z31=0, 0, 1), Z31/AB31),5)</f>
        <v>1.80172</v>
      </c>
    </row>
    <row r="32" spans="1:30" ht="15" outlineLevel="3" thickBot="1" x14ac:dyDescent="0.4">
      <c r="A32" s="2"/>
      <c r="B32" s="2"/>
      <c r="C32" s="2"/>
      <c r="D32" s="2"/>
      <c r="E32" s="2"/>
      <c r="F32" s="2"/>
      <c r="G32" s="2" t="s">
        <v>40</v>
      </c>
      <c r="H32" s="9">
        <v>0</v>
      </c>
      <c r="I32" s="7"/>
      <c r="J32" s="9">
        <v>0</v>
      </c>
      <c r="K32" s="7"/>
      <c r="L32" s="10">
        <f>ROUND(IF(J32=0, IF(H32=0, 0, 1), H32/J32),5)</f>
        <v>0</v>
      </c>
      <c r="M32" s="7"/>
      <c r="N32" s="9">
        <v>0</v>
      </c>
      <c r="O32" s="7"/>
      <c r="P32" s="6"/>
      <c r="Q32" s="7"/>
      <c r="R32" s="8"/>
      <c r="S32" s="7"/>
      <c r="T32" s="9">
        <v>2942.16</v>
      </c>
      <c r="U32" s="7"/>
      <c r="V32" s="9">
        <v>3000</v>
      </c>
      <c r="W32" s="7"/>
      <c r="X32" s="10">
        <f>ROUND(IF(V32=0, IF(T32=0, 0, 1), T32/V32),5)</f>
        <v>0.98072000000000004</v>
      </c>
      <c r="Y32" s="7"/>
      <c r="Z32" s="9">
        <f>ROUND(H32+N32+T32,5)</f>
        <v>2942.16</v>
      </c>
      <c r="AA32" s="7"/>
      <c r="AB32" s="9">
        <f>ROUND(J32+P32+V32,5)</f>
        <v>3000</v>
      </c>
      <c r="AC32" s="7"/>
      <c r="AD32" s="10">
        <f>ROUND(IF(AB32=0, IF(Z32=0, 0, 1), Z32/AB32),5)</f>
        <v>0.98072000000000004</v>
      </c>
    </row>
    <row r="33" spans="1:30" outlineLevel="2" x14ac:dyDescent="0.35">
      <c r="A33" s="2"/>
      <c r="B33" s="2"/>
      <c r="C33" s="2"/>
      <c r="D33" s="2"/>
      <c r="E33" s="2"/>
      <c r="F33" s="2" t="s">
        <v>41</v>
      </c>
      <c r="G33" s="2"/>
      <c r="H33" s="6">
        <f>ROUND(SUM(H29:H32),5)</f>
        <v>2414.31</v>
      </c>
      <c r="I33" s="7"/>
      <c r="J33" s="6">
        <f>ROUND(SUM(J29:J32),5)</f>
        <v>3500</v>
      </c>
      <c r="K33" s="7"/>
      <c r="L33" s="8">
        <f>ROUND(IF(J33=0, IF(H33=0, 0, 1), H33/J33),5)</f>
        <v>0.68979999999999997</v>
      </c>
      <c r="M33" s="7"/>
      <c r="N33" s="6">
        <f>ROUND(SUM(N29:N32),5)</f>
        <v>0</v>
      </c>
      <c r="O33" s="7"/>
      <c r="P33" s="6"/>
      <c r="Q33" s="7"/>
      <c r="R33" s="8"/>
      <c r="S33" s="7"/>
      <c r="T33" s="6">
        <f>ROUND(SUM(T29:T32),5)</f>
        <v>2942.16</v>
      </c>
      <c r="U33" s="7"/>
      <c r="V33" s="6">
        <f>ROUND(SUM(V29:V32),5)</f>
        <v>3000</v>
      </c>
      <c r="W33" s="7"/>
      <c r="X33" s="8">
        <f>ROUND(IF(V33=0, IF(T33=0, 0, 1), T33/V33),5)</f>
        <v>0.98072000000000004</v>
      </c>
      <c r="Y33" s="7"/>
      <c r="Z33" s="6">
        <f>ROUND(H33+N33+T33,5)</f>
        <v>5356.47</v>
      </c>
      <c r="AA33" s="7"/>
      <c r="AB33" s="6">
        <f>ROUND(J33+P33+V33,5)</f>
        <v>6500</v>
      </c>
      <c r="AC33" s="7"/>
      <c r="AD33" s="8">
        <f>ROUND(IF(AB33=0, IF(Z33=0, 0, 1), Z33/AB33),5)</f>
        <v>0.82406999999999997</v>
      </c>
    </row>
    <row r="34" spans="1:30" outlineLevel="3" x14ac:dyDescent="0.35">
      <c r="A34" s="2"/>
      <c r="B34" s="2"/>
      <c r="C34" s="2"/>
      <c r="D34" s="2"/>
      <c r="E34" s="2"/>
      <c r="F34" s="2" t="s">
        <v>42</v>
      </c>
      <c r="G34" s="2"/>
      <c r="H34" s="6"/>
      <c r="I34" s="7"/>
      <c r="J34" s="6"/>
      <c r="K34" s="7"/>
      <c r="L34" s="8"/>
      <c r="M34" s="7"/>
      <c r="N34" s="6"/>
      <c r="O34" s="7"/>
      <c r="P34" s="6"/>
      <c r="Q34" s="7"/>
      <c r="R34" s="8"/>
      <c r="S34" s="7"/>
      <c r="T34" s="6"/>
      <c r="U34" s="7"/>
      <c r="V34" s="6"/>
      <c r="W34" s="7"/>
      <c r="X34" s="8"/>
      <c r="Y34" s="7"/>
      <c r="Z34" s="6"/>
      <c r="AA34" s="7"/>
      <c r="AB34" s="6"/>
      <c r="AC34" s="7"/>
      <c r="AD34" s="8"/>
    </row>
    <row r="35" spans="1:30" outlineLevel="3" x14ac:dyDescent="0.35">
      <c r="A35" s="2"/>
      <c r="B35" s="2"/>
      <c r="C35" s="2"/>
      <c r="D35" s="2"/>
      <c r="E35" s="2"/>
      <c r="F35" s="2"/>
      <c r="G35" s="2" t="s">
        <v>43</v>
      </c>
      <c r="H35" s="6">
        <v>3241.8</v>
      </c>
      <c r="I35" s="7"/>
      <c r="J35" s="6">
        <v>800.04</v>
      </c>
      <c r="K35" s="7"/>
      <c r="L35" s="8">
        <f t="shared" ref="L35:L40" si="6">ROUND(IF(J35=0, IF(H35=0, 0, 1), H35/J35),5)</f>
        <v>4.0520500000000004</v>
      </c>
      <c r="M35" s="7"/>
      <c r="N35" s="6">
        <v>0</v>
      </c>
      <c r="O35" s="7"/>
      <c r="P35" s="6"/>
      <c r="Q35" s="7"/>
      <c r="R35" s="8"/>
      <c r="S35" s="7"/>
      <c r="T35" s="6">
        <v>0</v>
      </c>
      <c r="U35" s="7"/>
      <c r="V35" s="6"/>
      <c r="W35" s="7"/>
      <c r="X35" s="8"/>
      <c r="Y35" s="7"/>
      <c r="Z35" s="6">
        <f t="shared" ref="Z35:Z40" si="7">ROUND(H35+N35+T35,5)</f>
        <v>3241.8</v>
      </c>
      <c r="AA35" s="7"/>
      <c r="AB35" s="6">
        <f t="shared" ref="AB35:AB40" si="8">ROUND(J35+P35+V35,5)</f>
        <v>800.04</v>
      </c>
      <c r="AC35" s="7"/>
      <c r="AD35" s="8">
        <f t="shared" ref="AD35:AD40" si="9">ROUND(IF(AB35=0, IF(Z35=0, 0, 1), Z35/AB35),5)</f>
        <v>4.0520500000000004</v>
      </c>
    </row>
    <row r="36" spans="1:30" ht="15" outlineLevel="3" thickBot="1" x14ac:dyDescent="0.4">
      <c r="A36" s="2"/>
      <c r="B36" s="2"/>
      <c r="C36" s="2"/>
      <c r="D36" s="2"/>
      <c r="E36" s="2"/>
      <c r="F36" s="2"/>
      <c r="G36" s="2" t="s">
        <v>44</v>
      </c>
      <c r="H36" s="9">
        <v>4429.49</v>
      </c>
      <c r="I36" s="7"/>
      <c r="J36" s="9">
        <v>4200</v>
      </c>
      <c r="K36" s="7"/>
      <c r="L36" s="10">
        <f t="shared" si="6"/>
        <v>1.05464</v>
      </c>
      <c r="M36" s="7"/>
      <c r="N36" s="9">
        <v>0</v>
      </c>
      <c r="O36" s="7"/>
      <c r="P36" s="6"/>
      <c r="Q36" s="7"/>
      <c r="R36" s="8"/>
      <c r="S36" s="7"/>
      <c r="T36" s="9">
        <v>0</v>
      </c>
      <c r="U36" s="7"/>
      <c r="V36" s="6"/>
      <c r="W36" s="7"/>
      <c r="X36" s="8"/>
      <c r="Y36" s="7"/>
      <c r="Z36" s="9">
        <f t="shared" si="7"/>
        <v>4429.49</v>
      </c>
      <c r="AA36" s="7"/>
      <c r="AB36" s="9">
        <f t="shared" si="8"/>
        <v>4200</v>
      </c>
      <c r="AC36" s="7"/>
      <c r="AD36" s="10">
        <f t="shared" si="9"/>
        <v>1.05464</v>
      </c>
    </row>
    <row r="37" spans="1:30" outlineLevel="2" x14ac:dyDescent="0.35">
      <c r="A37" s="2"/>
      <c r="B37" s="2"/>
      <c r="C37" s="2"/>
      <c r="D37" s="2"/>
      <c r="E37" s="2"/>
      <c r="F37" s="2" t="s">
        <v>45</v>
      </c>
      <c r="G37" s="2"/>
      <c r="H37" s="6">
        <f>ROUND(SUM(H34:H36),5)</f>
        <v>7671.29</v>
      </c>
      <c r="I37" s="7"/>
      <c r="J37" s="6">
        <f>ROUND(SUM(J34:J36),5)</f>
        <v>5000.04</v>
      </c>
      <c r="K37" s="7"/>
      <c r="L37" s="8">
        <f t="shared" si="6"/>
        <v>1.5342499999999999</v>
      </c>
      <c r="M37" s="7"/>
      <c r="N37" s="6">
        <f>ROUND(SUM(N34:N36),5)</f>
        <v>0</v>
      </c>
      <c r="O37" s="7"/>
      <c r="P37" s="6"/>
      <c r="Q37" s="7"/>
      <c r="R37" s="8"/>
      <c r="S37" s="7"/>
      <c r="T37" s="6">
        <f>ROUND(SUM(T34:T36),5)</f>
        <v>0</v>
      </c>
      <c r="U37" s="7"/>
      <c r="V37" s="6"/>
      <c r="W37" s="7"/>
      <c r="X37" s="8"/>
      <c r="Y37" s="7"/>
      <c r="Z37" s="6">
        <f t="shared" si="7"/>
        <v>7671.29</v>
      </c>
      <c r="AA37" s="7"/>
      <c r="AB37" s="6">
        <f t="shared" si="8"/>
        <v>5000.04</v>
      </c>
      <c r="AC37" s="7"/>
      <c r="AD37" s="8">
        <f t="shared" si="9"/>
        <v>1.5342499999999999</v>
      </c>
    </row>
    <row r="38" spans="1:30" outlineLevel="2" x14ac:dyDescent="0.35">
      <c r="A38" s="2"/>
      <c r="B38" s="2"/>
      <c r="C38" s="2"/>
      <c r="D38" s="2"/>
      <c r="E38" s="2"/>
      <c r="F38" s="2" t="s">
        <v>46</v>
      </c>
      <c r="G38" s="2"/>
      <c r="H38" s="6">
        <v>11154.28</v>
      </c>
      <c r="I38" s="7"/>
      <c r="J38" s="6">
        <v>7500</v>
      </c>
      <c r="K38" s="7"/>
      <c r="L38" s="8">
        <f t="shared" si="6"/>
        <v>1.4872399999999999</v>
      </c>
      <c r="M38" s="7"/>
      <c r="N38" s="6">
        <v>0</v>
      </c>
      <c r="O38" s="7"/>
      <c r="P38" s="6"/>
      <c r="Q38" s="7"/>
      <c r="R38" s="8"/>
      <c r="S38" s="7"/>
      <c r="T38" s="6">
        <v>0</v>
      </c>
      <c r="U38" s="7"/>
      <c r="V38" s="6"/>
      <c r="W38" s="7"/>
      <c r="X38" s="8"/>
      <c r="Y38" s="7"/>
      <c r="Z38" s="6">
        <f t="shared" si="7"/>
        <v>11154.28</v>
      </c>
      <c r="AA38" s="7"/>
      <c r="AB38" s="6">
        <f t="shared" si="8"/>
        <v>7500</v>
      </c>
      <c r="AC38" s="7"/>
      <c r="AD38" s="8">
        <f t="shared" si="9"/>
        <v>1.4872399999999999</v>
      </c>
    </row>
    <row r="39" spans="1:30" outlineLevel="2" x14ac:dyDescent="0.35">
      <c r="A39" s="2"/>
      <c r="B39" s="2"/>
      <c r="C39" s="2"/>
      <c r="D39" s="2"/>
      <c r="E39" s="2"/>
      <c r="F39" s="2" t="s">
        <v>47</v>
      </c>
      <c r="G39" s="2"/>
      <c r="H39" s="6">
        <v>2005.35</v>
      </c>
      <c r="I39" s="7"/>
      <c r="J39" s="6">
        <v>1500</v>
      </c>
      <c r="K39" s="7"/>
      <c r="L39" s="8">
        <f t="shared" si="6"/>
        <v>1.3369</v>
      </c>
      <c r="M39" s="7"/>
      <c r="N39" s="6">
        <v>0</v>
      </c>
      <c r="O39" s="7"/>
      <c r="P39" s="6"/>
      <c r="Q39" s="7"/>
      <c r="R39" s="8"/>
      <c r="S39" s="7"/>
      <c r="T39" s="6">
        <v>0</v>
      </c>
      <c r="U39" s="7"/>
      <c r="V39" s="6"/>
      <c r="W39" s="7"/>
      <c r="X39" s="8"/>
      <c r="Y39" s="7"/>
      <c r="Z39" s="6">
        <f t="shared" si="7"/>
        <v>2005.35</v>
      </c>
      <c r="AA39" s="7"/>
      <c r="AB39" s="6">
        <f t="shared" si="8"/>
        <v>1500</v>
      </c>
      <c r="AC39" s="7"/>
      <c r="AD39" s="8">
        <f t="shared" si="9"/>
        <v>1.3369</v>
      </c>
    </row>
    <row r="40" spans="1:30" outlineLevel="2" x14ac:dyDescent="0.35">
      <c r="A40" s="2"/>
      <c r="B40" s="2"/>
      <c r="C40" s="2"/>
      <c r="D40" s="2"/>
      <c r="E40" s="2"/>
      <c r="F40" s="2" t="s">
        <v>48</v>
      </c>
      <c r="G40" s="2"/>
      <c r="H40" s="6">
        <v>3272.16</v>
      </c>
      <c r="I40" s="7"/>
      <c r="J40" s="6">
        <v>3500</v>
      </c>
      <c r="K40" s="7"/>
      <c r="L40" s="8">
        <f t="shared" si="6"/>
        <v>0.93489999999999995</v>
      </c>
      <c r="M40" s="7"/>
      <c r="N40" s="6">
        <v>0</v>
      </c>
      <c r="O40" s="7"/>
      <c r="P40" s="6"/>
      <c r="Q40" s="7"/>
      <c r="R40" s="8"/>
      <c r="S40" s="7"/>
      <c r="T40" s="6">
        <v>0</v>
      </c>
      <c r="U40" s="7"/>
      <c r="V40" s="6"/>
      <c r="W40" s="7"/>
      <c r="X40" s="8"/>
      <c r="Y40" s="7"/>
      <c r="Z40" s="6">
        <f t="shared" si="7"/>
        <v>3272.16</v>
      </c>
      <c r="AA40" s="7"/>
      <c r="AB40" s="6">
        <f t="shared" si="8"/>
        <v>3500</v>
      </c>
      <c r="AC40" s="7"/>
      <c r="AD40" s="8">
        <f t="shared" si="9"/>
        <v>0.93489999999999995</v>
      </c>
    </row>
    <row r="41" spans="1:30" outlineLevel="3" x14ac:dyDescent="0.35">
      <c r="A41" s="2"/>
      <c r="B41" s="2"/>
      <c r="C41" s="2"/>
      <c r="D41" s="2"/>
      <c r="E41" s="2"/>
      <c r="F41" s="2" t="s">
        <v>49</v>
      </c>
      <c r="G41" s="2"/>
      <c r="H41" s="6"/>
      <c r="I41" s="7"/>
      <c r="J41" s="6"/>
      <c r="K41" s="7"/>
      <c r="L41" s="8"/>
      <c r="M41" s="7"/>
      <c r="N41" s="6"/>
      <c r="O41" s="7"/>
      <c r="P41" s="6"/>
      <c r="Q41" s="7"/>
      <c r="R41" s="8"/>
      <c r="S41" s="7"/>
      <c r="T41" s="6"/>
      <c r="U41" s="7"/>
      <c r="V41" s="6"/>
      <c r="W41" s="7"/>
      <c r="X41" s="8"/>
      <c r="Y41" s="7"/>
      <c r="Z41" s="6"/>
      <c r="AA41" s="7"/>
      <c r="AB41" s="6"/>
      <c r="AC41" s="7"/>
      <c r="AD41" s="8"/>
    </row>
    <row r="42" spans="1:30" outlineLevel="3" x14ac:dyDescent="0.35">
      <c r="A42" s="2"/>
      <c r="B42" s="2"/>
      <c r="C42" s="2"/>
      <c r="D42" s="2"/>
      <c r="E42" s="2"/>
      <c r="F42" s="2"/>
      <c r="G42" s="2" t="s">
        <v>50</v>
      </c>
      <c r="H42" s="6">
        <v>148.52000000000001</v>
      </c>
      <c r="I42" s="7"/>
      <c r="J42" s="6">
        <v>0</v>
      </c>
      <c r="K42" s="7"/>
      <c r="L42" s="8">
        <f>ROUND(IF(J42=0, IF(H42=0, 0, 1), H42/J42),5)</f>
        <v>1</v>
      </c>
      <c r="M42" s="7"/>
      <c r="N42" s="6">
        <v>0</v>
      </c>
      <c r="O42" s="7"/>
      <c r="P42" s="6"/>
      <c r="Q42" s="7"/>
      <c r="R42" s="8"/>
      <c r="S42" s="7"/>
      <c r="T42" s="6">
        <v>0</v>
      </c>
      <c r="U42" s="7"/>
      <c r="V42" s="6"/>
      <c r="W42" s="7"/>
      <c r="X42" s="8"/>
      <c r="Y42" s="7"/>
      <c r="Z42" s="6">
        <f>ROUND(H42+N42+T42,5)</f>
        <v>148.52000000000001</v>
      </c>
      <c r="AA42" s="7"/>
      <c r="AB42" s="6">
        <f>ROUND(J42+P42+V42,5)</f>
        <v>0</v>
      </c>
      <c r="AC42" s="7"/>
      <c r="AD42" s="8">
        <f>ROUND(IF(AB42=0, IF(Z42=0, 0, 1), Z42/AB42),5)</f>
        <v>1</v>
      </c>
    </row>
    <row r="43" spans="1:30" ht="15" outlineLevel="3" thickBot="1" x14ac:dyDescent="0.4">
      <c r="A43" s="2"/>
      <c r="B43" s="2"/>
      <c r="C43" s="2"/>
      <c r="D43" s="2"/>
      <c r="E43" s="2"/>
      <c r="F43" s="2"/>
      <c r="G43" s="2" t="s">
        <v>51</v>
      </c>
      <c r="H43" s="6">
        <v>0</v>
      </c>
      <c r="I43" s="7"/>
      <c r="J43" s="6">
        <v>500</v>
      </c>
      <c r="K43" s="7"/>
      <c r="L43" s="8">
        <f>ROUND(IF(J43=0, IF(H43=0, 0, 1), H43/J43),5)</f>
        <v>0</v>
      </c>
      <c r="M43" s="7"/>
      <c r="N43" s="6">
        <v>0</v>
      </c>
      <c r="O43" s="7"/>
      <c r="P43" s="6"/>
      <c r="Q43" s="7"/>
      <c r="R43" s="8"/>
      <c r="S43" s="7"/>
      <c r="T43" s="6">
        <v>0</v>
      </c>
      <c r="U43" s="7"/>
      <c r="V43" s="6"/>
      <c r="W43" s="7"/>
      <c r="X43" s="8"/>
      <c r="Y43" s="7"/>
      <c r="Z43" s="6">
        <f>ROUND(H43+N43+T43,5)</f>
        <v>0</v>
      </c>
      <c r="AA43" s="7"/>
      <c r="AB43" s="6">
        <f>ROUND(J43+P43+V43,5)</f>
        <v>500</v>
      </c>
      <c r="AC43" s="7"/>
      <c r="AD43" s="8">
        <f>ROUND(IF(AB43=0, IF(Z43=0, 0, 1), Z43/AB43),5)</f>
        <v>0</v>
      </c>
    </row>
    <row r="44" spans="1:30" ht="15" outlineLevel="2" thickBot="1" x14ac:dyDescent="0.4">
      <c r="A44" s="2"/>
      <c r="B44" s="2"/>
      <c r="C44" s="2"/>
      <c r="D44" s="2"/>
      <c r="E44" s="2"/>
      <c r="F44" s="2" t="s">
        <v>52</v>
      </c>
      <c r="G44" s="2"/>
      <c r="H44" s="11">
        <f>ROUND(SUM(H41:H43),5)</f>
        <v>148.52000000000001</v>
      </c>
      <c r="I44" s="7"/>
      <c r="J44" s="11">
        <f>ROUND(SUM(J41:J43),5)</f>
        <v>500</v>
      </c>
      <c r="K44" s="7"/>
      <c r="L44" s="12">
        <f>ROUND(IF(J44=0, IF(H44=0, 0, 1), H44/J44),5)</f>
        <v>0.29704000000000003</v>
      </c>
      <c r="M44" s="7"/>
      <c r="N44" s="11">
        <f>ROUND(SUM(N41:N43),5)</f>
        <v>0</v>
      </c>
      <c r="O44" s="7"/>
      <c r="P44" s="6"/>
      <c r="Q44" s="7"/>
      <c r="R44" s="8"/>
      <c r="S44" s="7"/>
      <c r="T44" s="11">
        <f>ROUND(SUM(T41:T43),5)</f>
        <v>0</v>
      </c>
      <c r="U44" s="7"/>
      <c r="V44" s="9"/>
      <c r="W44" s="7"/>
      <c r="X44" s="10"/>
      <c r="Y44" s="7"/>
      <c r="Z44" s="11">
        <f>ROUND(H44+N44+T44,5)</f>
        <v>148.52000000000001</v>
      </c>
      <c r="AA44" s="7"/>
      <c r="AB44" s="11">
        <f>ROUND(J44+P44+V44,5)</f>
        <v>500</v>
      </c>
      <c r="AC44" s="7"/>
      <c r="AD44" s="12">
        <f>ROUND(IF(AB44=0, IF(Z44=0, 0, 1), Z44/AB44),5)</f>
        <v>0.29704000000000003</v>
      </c>
    </row>
    <row r="45" spans="1:30" outlineLevel="1" x14ac:dyDescent="0.35">
      <c r="A45" s="2"/>
      <c r="B45" s="2"/>
      <c r="C45" s="2"/>
      <c r="D45" s="2"/>
      <c r="E45" s="2" t="s">
        <v>53</v>
      </c>
      <c r="F45" s="2"/>
      <c r="G45" s="2"/>
      <c r="H45" s="6">
        <f>ROUND(SUM(H27:H28)+H33+SUM(H37:H40)+H44,5)</f>
        <v>31627.1</v>
      </c>
      <c r="I45" s="7"/>
      <c r="J45" s="6">
        <f>ROUND(SUM(J27:J28)+J33+SUM(J37:J40)+J44,5)</f>
        <v>25500</v>
      </c>
      <c r="K45" s="7"/>
      <c r="L45" s="8">
        <f>ROUND(IF(J45=0, IF(H45=0, 0, 1), H45/J45),5)</f>
        <v>1.24028</v>
      </c>
      <c r="M45" s="7"/>
      <c r="N45" s="6">
        <f>ROUND(SUM(N27:N28)+N33+SUM(N37:N40)+N44,5)</f>
        <v>0</v>
      </c>
      <c r="O45" s="7"/>
      <c r="P45" s="6"/>
      <c r="Q45" s="7"/>
      <c r="R45" s="8"/>
      <c r="S45" s="7"/>
      <c r="T45" s="6">
        <f>ROUND(SUM(T27:T28)+T33+SUM(T37:T40)+T44,5)</f>
        <v>2942.16</v>
      </c>
      <c r="U45" s="7"/>
      <c r="V45" s="6">
        <f>ROUND(SUM(V27:V28)+V33+SUM(V37:V40)+V44,5)</f>
        <v>3000</v>
      </c>
      <c r="W45" s="7"/>
      <c r="X45" s="8">
        <f>ROUND(IF(V45=0, IF(T45=0, 0, 1), T45/V45),5)</f>
        <v>0.98072000000000004</v>
      </c>
      <c r="Y45" s="7"/>
      <c r="Z45" s="6">
        <f>ROUND(H45+N45+T45,5)</f>
        <v>34569.26</v>
      </c>
      <c r="AA45" s="7"/>
      <c r="AB45" s="6">
        <f>ROUND(J45+P45+V45,5)</f>
        <v>28500</v>
      </c>
      <c r="AC45" s="7"/>
      <c r="AD45" s="8">
        <f>ROUND(IF(AB45=0, IF(Z45=0, 0, 1), Z45/AB45),5)</f>
        <v>1.21296</v>
      </c>
    </row>
    <row r="46" spans="1:30" outlineLevel="2" x14ac:dyDescent="0.35">
      <c r="A46" s="2"/>
      <c r="B46" s="2"/>
      <c r="C46" s="2"/>
      <c r="D46" s="2"/>
      <c r="E46" s="2" t="s">
        <v>54</v>
      </c>
      <c r="F46" s="2"/>
      <c r="G46" s="2"/>
      <c r="H46" s="6"/>
      <c r="I46" s="7"/>
      <c r="J46" s="6"/>
      <c r="K46" s="7"/>
      <c r="L46" s="8"/>
      <c r="M46" s="7"/>
      <c r="N46" s="6"/>
      <c r="O46" s="7"/>
      <c r="P46" s="6"/>
      <c r="Q46" s="7"/>
      <c r="R46" s="8"/>
      <c r="S46" s="7"/>
      <c r="T46" s="6"/>
      <c r="U46" s="7"/>
      <c r="V46" s="6"/>
      <c r="W46" s="7"/>
      <c r="X46" s="8"/>
      <c r="Y46" s="7"/>
      <c r="Z46" s="6"/>
      <c r="AA46" s="7"/>
      <c r="AB46" s="6"/>
      <c r="AC46" s="7"/>
      <c r="AD46" s="8"/>
    </row>
    <row r="47" spans="1:30" outlineLevel="2" x14ac:dyDescent="0.35">
      <c r="A47" s="2"/>
      <c r="B47" s="2"/>
      <c r="C47" s="2"/>
      <c r="D47" s="2"/>
      <c r="E47" s="2"/>
      <c r="F47" s="2" t="s">
        <v>55</v>
      </c>
      <c r="G47" s="2"/>
      <c r="H47" s="6">
        <v>0</v>
      </c>
      <c r="I47" s="7"/>
      <c r="J47" s="6">
        <v>2000</v>
      </c>
      <c r="K47" s="7"/>
      <c r="L47" s="8">
        <f>ROUND(IF(J47=0, IF(H47=0, 0, 1), H47/J47),5)</f>
        <v>0</v>
      </c>
      <c r="M47" s="7"/>
      <c r="N47" s="6">
        <v>0</v>
      </c>
      <c r="O47" s="7"/>
      <c r="P47" s="6"/>
      <c r="Q47" s="7"/>
      <c r="R47" s="8"/>
      <c r="S47" s="7"/>
      <c r="T47" s="6">
        <v>0</v>
      </c>
      <c r="U47" s="7"/>
      <c r="V47" s="6"/>
      <c r="W47" s="7"/>
      <c r="X47" s="8"/>
      <c r="Y47" s="7"/>
      <c r="Z47" s="6">
        <f>ROUND(H47+N47+T47,5)</f>
        <v>0</v>
      </c>
      <c r="AA47" s="7"/>
      <c r="AB47" s="6">
        <f>ROUND(J47+P47+V47,5)</f>
        <v>2000</v>
      </c>
      <c r="AC47" s="7"/>
      <c r="AD47" s="8">
        <f>ROUND(IF(AB47=0, IF(Z47=0, 0, 1), Z47/AB47),5)</f>
        <v>0</v>
      </c>
    </row>
    <row r="48" spans="1:30" outlineLevel="2" x14ac:dyDescent="0.35">
      <c r="A48" s="2"/>
      <c r="B48" s="2"/>
      <c r="C48" s="2"/>
      <c r="D48" s="2"/>
      <c r="E48" s="2"/>
      <c r="F48" s="2" t="s">
        <v>56</v>
      </c>
      <c r="G48" s="2"/>
      <c r="H48" s="6">
        <v>3605.11</v>
      </c>
      <c r="I48" s="7"/>
      <c r="J48" s="6">
        <v>2000</v>
      </c>
      <c r="K48" s="7"/>
      <c r="L48" s="8">
        <f>ROUND(IF(J48=0, IF(H48=0, 0, 1), H48/J48),5)</f>
        <v>1.8025599999999999</v>
      </c>
      <c r="M48" s="7"/>
      <c r="N48" s="6">
        <v>0</v>
      </c>
      <c r="O48" s="7"/>
      <c r="P48" s="6"/>
      <c r="Q48" s="7"/>
      <c r="R48" s="8"/>
      <c r="S48" s="7"/>
      <c r="T48" s="6">
        <v>0</v>
      </c>
      <c r="U48" s="7"/>
      <c r="V48" s="6"/>
      <c r="W48" s="7"/>
      <c r="X48" s="8"/>
      <c r="Y48" s="7"/>
      <c r="Z48" s="6">
        <f>ROUND(H48+N48+T48,5)</f>
        <v>3605.11</v>
      </c>
      <c r="AA48" s="7"/>
      <c r="AB48" s="6">
        <f>ROUND(J48+P48+V48,5)</f>
        <v>2000</v>
      </c>
      <c r="AC48" s="7"/>
      <c r="AD48" s="8">
        <f>ROUND(IF(AB48=0, IF(Z48=0, 0, 1), Z48/AB48),5)</f>
        <v>1.8025599999999999</v>
      </c>
    </row>
    <row r="49" spans="1:30" outlineLevel="3" x14ac:dyDescent="0.35">
      <c r="A49" s="2"/>
      <c r="B49" s="2"/>
      <c r="C49" s="2"/>
      <c r="D49" s="2"/>
      <c r="E49" s="2"/>
      <c r="F49" s="2" t="s">
        <v>57</v>
      </c>
      <c r="G49" s="2"/>
      <c r="H49" s="6"/>
      <c r="I49" s="7"/>
      <c r="J49" s="6"/>
      <c r="K49" s="7"/>
      <c r="L49" s="8"/>
      <c r="M49" s="7"/>
      <c r="N49" s="6"/>
      <c r="O49" s="7"/>
      <c r="P49" s="6"/>
      <c r="Q49" s="7"/>
      <c r="R49" s="8"/>
      <c r="S49" s="7"/>
      <c r="T49" s="6"/>
      <c r="U49" s="7"/>
      <c r="V49" s="6"/>
      <c r="W49" s="7"/>
      <c r="X49" s="8"/>
      <c r="Y49" s="7"/>
      <c r="Z49" s="6"/>
      <c r="AA49" s="7"/>
      <c r="AB49" s="6"/>
      <c r="AC49" s="7"/>
      <c r="AD49" s="8"/>
    </row>
    <row r="50" spans="1:30" outlineLevel="3" x14ac:dyDescent="0.35">
      <c r="A50" s="2"/>
      <c r="B50" s="2"/>
      <c r="C50" s="2"/>
      <c r="D50" s="2"/>
      <c r="E50" s="2"/>
      <c r="F50" s="2"/>
      <c r="G50" s="2" t="s">
        <v>58</v>
      </c>
      <c r="H50" s="6">
        <v>10871.82</v>
      </c>
      <c r="I50" s="7"/>
      <c r="J50" s="6">
        <v>10200</v>
      </c>
      <c r="K50" s="7"/>
      <c r="L50" s="8">
        <f>ROUND(IF(J50=0, IF(H50=0, 0, 1), H50/J50),5)</f>
        <v>1.06586</v>
      </c>
      <c r="M50" s="7"/>
      <c r="N50" s="6">
        <v>0</v>
      </c>
      <c r="O50" s="7"/>
      <c r="P50" s="6"/>
      <c r="Q50" s="7"/>
      <c r="R50" s="8"/>
      <c r="S50" s="7"/>
      <c r="T50" s="6">
        <v>0</v>
      </c>
      <c r="U50" s="7"/>
      <c r="V50" s="6"/>
      <c r="W50" s="7"/>
      <c r="X50" s="8"/>
      <c r="Y50" s="7"/>
      <c r="Z50" s="6">
        <f>ROUND(H50+N50+T50,5)</f>
        <v>10871.82</v>
      </c>
      <c r="AA50" s="7"/>
      <c r="AB50" s="6">
        <f>ROUND(J50+P50+V50,5)</f>
        <v>10200</v>
      </c>
      <c r="AC50" s="7"/>
      <c r="AD50" s="8">
        <f>ROUND(IF(AB50=0, IF(Z50=0, 0, 1), Z50/AB50),5)</f>
        <v>1.06586</v>
      </c>
    </row>
    <row r="51" spans="1:30" ht="15" outlineLevel="3" thickBot="1" x14ac:dyDescent="0.4">
      <c r="A51" s="2"/>
      <c r="B51" s="2"/>
      <c r="C51" s="2"/>
      <c r="D51" s="2"/>
      <c r="E51" s="2"/>
      <c r="F51" s="2"/>
      <c r="G51" s="2" t="s">
        <v>59</v>
      </c>
      <c r="H51" s="9">
        <v>694.76</v>
      </c>
      <c r="I51" s="7"/>
      <c r="J51" s="9">
        <v>1300</v>
      </c>
      <c r="K51" s="7"/>
      <c r="L51" s="10">
        <f>ROUND(IF(J51=0, IF(H51=0, 0, 1), H51/J51),5)</f>
        <v>0.53442999999999996</v>
      </c>
      <c r="M51" s="7"/>
      <c r="N51" s="9">
        <v>0</v>
      </c>
      <c r="O51" s="7"/>
      <c r="P51" s="6"/>
      <c r="Q51" s="7"/>
      <c r="R51" s="8"/>
      <c r="S51" s="7"/>
      <c r="T51" s="9">
        <v>0</v>
      </c>
      <c r="U51" s="7"/>
      <c r="V51" s="6"/>
      <c r="W51" s="7"/>
      <c r="X51" s="8"/>
      <c r="Y51" s="7"/>
      <c r="Z51" s="9">
        <f>ROUND(H51+N51+T51,5)</f>
        <v>694.76</v>
      </c>
      <c r="AA51" s="7"/>
      <c r="AB51" s="9">
        <f>ROUND(J51+P51+V51,5)</f>
        <v>1300</v>
      </c>
      <c r="AC51" s="7"/>
      <c r="AD51" s="10">
        <f>ROUND(IF(AB51=0, IF(Z51=0, 0, 1), Z51/AB51),5)</f>
        <v>0.53442999999999996</v>
      </c>
    </row>
    <row r="52" spans="1:30" outlineLevel="2" x14ac:dyDescent="0.35">
      <c r="A52" s="2"/>
      <c r="B52" s="2"/>
      <c r="C52" s="2"/>
      <c r="D52" s="2"/>
      <c r="E52" s="2"/>
      <c r="F52" s="2" t="s">
        <v>61</v>
      </c>
      <c r="G52" s="2"/>
      <c r="H52" s="6">
        <f>ROUND(SUM(H49:H51),5)</f>
        <v>11566.58</v>
      </c>
      <c r="I52" s="7"/>
      <c r="J52" s="6">
        <f>ROUND(SUM(J49:J51),5)</f>
        <v>11500</v>
      </c>
      <c r="K52" s="7"/>
      <c r="L52" s="8">
        <f>ROUND(IF(J52=0, IF(H52=0, 0, 1), H52/J52),5)</f>
        <v>1.00579</v>
      </c>
      <c r="M52" s="7"/>
      <c r="N52" s="6">
        <f>ROUND(SUM(N49:N51),5)</f>
        <v>0</v>
      </c>
      <c r="O52" s="7"/>
      <c r="P52" s="6"/>
      <c r="Q52" s="7"/>
      <c r="R52" s="8"/>
      <c r="S52" s="7"/>
      <c r="T52" s="6">
        <f>ROUND(SUM(T49:T51),5)</f>
        <v>0</v>
      </c>
      <c r="U52" s="7"/>
      <c r="V52" s="6"/>
      <c r="W52" s="7"/>
      <c r="X52" s="8"/>
      <c r="Y52" s="7"/>
      <c r="Z52" s="6">
        <f>ROUND(H52+N52+T52,5)</f>
        <v>11566.58</v>
      </c>
      <c r="AA52" s="7"/>
      <c r="AB52" s="6">
        <f>ROUND(J52+P52+V52,5)</f>
        <v>11500</v>
      </c>
      <c r="AC52" s="7"/>
      <c r="AD52" s="8">
        <f>ROUND(IF(AB52=0, IF(Z52=0, 0, 1), Z52/AB52),5)</f>
        <v>1.00579</v>
      </c>
    </row>
    <row r="53" spans="1:30" outlineLevel="2" x14ac:dyDescent="0.35">
      <c r="A53" s="2"/>
      <c r="B53" s="2"/>
      <c r="C53" s="2"/>
      <c r="D53" s="2"/>
      <c r="E53" s="2"/>
      <c r="F53" s="2" t="s">
        <v>62</v>
      </c>
      <c r="G53" s="2"/>
      <c r="H53" s="6">
        <v>912.74</v>
      </c>
      <c r="I53" s="7"/>
      <c r="J53" s="6">
        <v>1500</v>
      </c>
      <c r="K53" s="7"/>
      <c r="L53" s="8">
        <f>ROUND(IF(J53=0, IF(H53=0, 0, 1), H53/J53),5)</f>
        <v>0.60848999999999998</v>
      </c>
      <c r="M53" s="7"/>
      <c r="N53" s="6">
        <v>0</v>
      </c>
      <c r="O53" s="7"/>
      <c r="P53" s="6"/>
      <c r="Q53" s="7"/>
      <c r="R53" s="8"/>
      <c r="S53" s="7"/>
      <c r="T53" s="6">
        <v>0</v>
      </c>
      <c r="U53" s="7"/>
      <c r="V53" s="6"/>
      <c r="W53" s="7"/>
      <c r="X53" s="8"/>
      <c r="Y53" s="7"/>
      <c r="Z53" s="6">
        <f>ROUND(H53+N53+T53,5)</f>
        <v>912.74</v>
      </c>
      <c r="AA53" s="7"/>
      <c r="AB53" s="6">
        <f>ROUND(J53+P53+V53,5)</f>
        <v>1500</v>
      </c>
      <c r="AC53" s="7"/>
      <c r="AD53" s="8">
        <f>ROUND(IF(AB53=0, IF(Z53=0, 0, 1), Z53/AB53),5)</f>
        <v>0.60848999999999998</v>
      </c>
    </row>
    <row r="54" spans="1:30" outlineLevel="3" x14ac:dyDescent="0.35">
      <c r="A54" s="2"/>
      <c r="B54" s="2"/>
      <c r="C54" s="2"/>
      <c r="D54" s="2"/>
      <c r="E54" s="2"/>
      <c r="F54" s="2" t="s">
        <v>63</v>
      </c>
      <c r="G54" s="2"/>
      <c r="H54" s="6"/>
      <c r="I54" s="7"/>
      <c r="J54" s="6"/>
      <c r="K54" s="7"/>
      <c r="L54" s="8"/>
      <c r="M54" s="7"/>
      <c r="N54" s="6"/>
      <c r="O54" s="7"/>
      <c r="P54" s="6"/>
      <c r="Q54" s="7"/>
      <c r="R54" s="8"/>
      <c r="S54" s="7"/>
      <c r="T54" s="6"/>
      <c r="U54" s="7"/>
      <c r="V54" s="6"/>
      <c r="W54" s="7"/>
      <c r="X54" s="8"/>
      <c r="Y54" s="7"/>
      <c r="Z54" s="6"/>
      <c r="AA54" s="7"/>
      <c r="AB54" s="6"/>
      <c r="AC54" s="7"/>
      <c r="AD54" s="8"/>
    </row>
    <row r="55" spans="1:30" outlineLevel="3" x14ac:dyDescent="0.35">
      <c r="A55" s="2"/>
      <c r="B55" s="2"/>
      <c r="C55" s="2"/>
      <c r="D55" s="2"/>
      <c r="E55" s="2"/>
      <c r="F55" s="2"/>
      <c r="G55" s="2" t="s">
        <v>64</v>
      </c>
      <c r="H55" s="6">
        <v>988.23</v>
      </c>
      <c r="I55" s="7"/>
      <c r="J55" s="6"/>
      <c r="K55" s="7"/>
      <c r="L55" s="8"/>
      <c r="M55" s="7"/>
      <c r="N55" s="6">
        <v>0</v>
      </c>
      <c r="O55" s="7"/>
      <c r="P55" s="6"/>
      <c r="Q55" s="7"/>
      <c r="R55" s="8"/>
      <c r="S55" s="7"/>
      <c r="T55" s="6">
        <v>0</v>
      </c>
      <c r="U55" s="7"/>
      <c r="V55" s="6"/>
      <c r="W55" s="7"/>
      <c r="X55" s="8"/>
      <c r="Y55" s="7"/>
      <c r="Z55" s="6">
        <f t="shared" ref="Z55:Z60" si="10">ROUND(H55+N55+T55,5)</f>
        <v>988.23</v>
      </c>
      <c r="AA55" s="7"/>
      <c r="AB55" s="6">
        <f t="shared" ref="AB55:AB60" si="11">ROUND(J55+P55+V55,5)</f>
        <v>0</v>
      </c>
      <c r="AC55" s="7"/>
      <c r="AD55" s="8">
        <f t="shared" ref="AD55:AD60" si="12">ROUND(IF(AB55=0, IF(Z55=0, 0, 1), Z55/AB55),5)</f>
        <v>1</v>
      </c>
    </row>
    <row r="56" spans="1:30" ht="15" outlineLevel="3" thickBot="1" x14ac:dyDescent="0.4">
      <c r="A56" s="2"/>
      <c r="B56" s="2"/>
      <c r="C56" s="2"/>
      <c r="D56" s="2"/>
      <c r="E56" s="2"/>
      <c r="F56" s="2"/>
      <c r="G56" s="2" t="s">
        <v>65</v>
      </c>
      <c r="H56" s="9">
        <v>5135.5</v>
      </c>
      <c r="I56" s="7"/>
      <c r="J56" s="9">
        <v>4000</v>
      </c>
      <c r="K56" s="7"/>
      <c r="L56" s="10">
        <f>ROUND(IF(J56=0, IF(H56=0, 0, 1), H56/J56),5)</f>
        <v>1.2838799999999999</v>
      </c>
      <c r="M56" s="7"/>
      <c r="N56" s="9">
        <v>0</v>
      </c>
      <c r="O56" s="7"/>
      <c r="P56" s="6"/>
      <c r="Q56" s="7"/>
      <c r="R56" s="8"/>
      <c r="S56" s="7"/>
      <c r="T56" s="9">
        <v>0</v>
      </c>
      <c r="U56" s="7"/>
      <c r="V56" s="6"/>
      <c r="W56" s="7"/>
      <c r="X56" s="8"/>
      <c r="Y56" s="7"/>
      <c r="Z56" s="9">
        <f t="shared" si="10"/>
        <v>5135.5</v>
      </c>
      <c r="AA56" s="7"/>
      <c r="AB56" s="9">
        <f t="shared" si="11"/>
        <v>4000</v>
      </c>
      <c r="AC56" s="7"/>
      <c r="AD56" s="10">
        <f t="shared" si="12"/>
        <v>1.2838799999999999</v>
      </c>
    </row>
    <row r="57" spans="1:30" outlineLevel="2" x14ac:dyDescent="0.35">
      <c r="A57" s="2"/>
      <c r="B57" s="2"/>
      <c r="C57" s="2"/>
      <c r="D57" s="2"/>
      <c r="E57" s="2"/>
      <c r="F57" s="2" t="s">
        <v>66</v>
      </c>
      <c r="G57" s="2"/>
      <c r="H57" s="6">
        <f>ROUND(SUM(H54:H56),5)</f>
        <v>6123.73</v>
      </c>
      <c r="I57" s="7"/>
      <c r="J57" s="6">
        <f>ROUND(SUM(J54:J56),5)</f>
        <v>4000</v>
      </c>
      <c r="K57" s="7"/>
      <c r="L57" s="8">
        <f>ROUND(IF(J57=0, IF(H57=0, 0, 1), H57/J57),5)</f>
        <v>1.5309299999999999</v>
      </c>
      <c r="M57" s="7"/>
      <c r="N57" s="6">
        <f>ROUND(SUM(N54:N56),5)</f>
        <v>0</v>
      </c>
      <c r="O57" s="7"/>
      <c r="P57" s="6"/>
      <c r="Q57" s="7"/>
      <c r="R57" s="8"/>
      <c r="S57" s="7"/>
      <c r="T57" s="6">
        <f>ROUND(SUM(T54:T56),5)</f>
        <v>0</v>
      </c>
      <c r="U57" s="7"/>
      <c r="V57" s="6"/>
      <c r="W57" s="7"/>
      <c r="X57" s="8"/>
      <c r="Y57" s="7"/>
      <c r="Z57" s="6">
        <f t="shared" si="10"/>
        <v>6123.73</v>
      </c>
      <c r="AA57" s="7"/>
      <c r="AB57" s="6">
        <f t="shared" si="11"/>
        <v>4000</v>
      </c>
      <c r="AC57" s="7"/>
      <c r="AD57" s="8">
        <f t="shared" si="12"/>
        <v>1.5309299999999999</v>
      </c>
    </row>
    <row r="58" spans="1:30" outlineLevel="2" x14ac:dyDescent="0.35">
      <c r="A58" s="2"/>
      <c r="B58" s="2"/>
      <c r="C58" s="2"/>
      <c r="D58" s="2"/>
      <c r="E58" s="2"/>
      <c r="F58" s="2" t="s">
        <v>67</v>
      </c>
      <c r="G58" s="2"/>
      <c r="H58" s="6">
        <v>12350.44</v>
      </c>
      <c r="I58" s="7"/>
      <c r="J58" s="6">
        <v>15000</v>
      </c>
      <c r="K58" s="7"/>
      <c r="L58" s="8">
        <f>ROUND(IF(J58=0, IF(H58=0, 0, 1), H58/J58),5)</f>
        <v>0.82335999999999998</v>
      </c>
      <c r="M58" s="7"/>
      <c r="N58" s="6">
        <v>0</v>
      </c>
      <c r="O58" s="7"/>
      <c r="P58" s="6"/>
      <c r="Q58" s="7"/>
      <c r="R58" s="8"/>
      <c r="S58" s="7"/>
      <c r="T58" s="6">
        <v>0</v>
      </c>
      <c r="U58" s="7"/>
      <c r="V58" s="6"/>
      <c r="W58" s="7"/>
      <c r="X58" s="8"/>
      <c r="Y58" s="7"/>
      <c r="Z58" s="6">
        <f t="shared" si="10"/>
        <v>12350.44</v>
      </c>
      <c r="AA58" s="7"/>
      <c r="AB58" s="6">
        <f t="shared" si="11"/>
        <v>15000</v>
      </c>
      <c r="AC58" s="7"/>
      <c r="AD58" s="8">
        <f t="shared" si="12"/>
        <v>0.82335999999999998</v>
      </c>
    </row>
    <row r="59" spans="1:30" ht="15" outlineLevel="2" thickBot="1" x14ac:dyDescent="0.4">
      <c r="A59" s="2"/>
      <c r="B59" s="2"/>
      <c r="C59" s="2"/>
      <c r="D59" s="2"/>
      <c r="E59" s="2"/>
      <c r="F59" s="2" t="s">
        <v>68</v>
      </c>
      <c r="G59" s="2"/>
      <c r="H59" s="9">
        <v>4007.23</v>
      </c>
      <c r="I59" s="7"/>
      <c r="J59" s="9">
        <v>4500</v>
      </c>
      <c r="K59" s="7"/>
      <c r="L59" s="10">
        <f>ROUND(IF(J59=0, IF(H59=0, 0, 1), H59/J59),5)</f>
        <v>0.89049999999999996</v>
      </c>
      <c r="M59" s="7"/>
      <c r="N59" s="9">
        <v>0</v>
      </c>
      <c r="O59" s="7"/>
      <c r="P59" s="6"/>
      <c r="Q59" s="7"/>
      <c r="R59" s="8"/>
      <c r="S59" s="7"/>
      <c r="T59" s="9">
        <v>0</v>
      </c>
      <c r="U59" s="7"/>
      <c r="V59" s="6"/>
      <c r="W59" s="7"/>
      <c r="X59" s="8"/>
      <c r="Y59" s="7"/>
      <c r="Z59" s="9">
        <f t="shared" si="10"/>
        <v>4007.23</v>
      </c>
      <c r="AA59" s="7"/>
      <c r="AB59" s="9">
        <f t="shared" si="11"/>
        <v>4500</v>
      </c>
      <c r="AC59" s="7"/>
      <c r="AD59" s="10">
        <f t="shared" si="12"/>
        <v>0.89049999999999996</v>
      </c>
    </row>
    <row r="60" spans="1:30" outlineLevel="1" x14ac:dyDescent="0.35">
      <c r="A60" s="2"/>
      <c r="B60" s="2"/>
      <c r="C60" s="2"/>
      <c r="D60" s="2"/>
      <c r="E60" s="2" t="s">
        <v>69</v>
      </c>
      <c r="F60" s="2"/>
      <c r="G60" s="2"/>
      <c r="H60" s="6">
        <f>ROUND(SUM(H46:H48)+SUM(H52:H53)+SUM(H57:H59),5)</f>
        <v>38565.83</v>
      </c>
      <c r="I60" s="7"/>
      <c r="J60" s="6">
        <f>ROUND(SUM(J46:J48)+SUM(J52:J53)+SUM(J57:J59),5)</f>
        <v>40500</v>
      </c>
      <c r="K60" s="7"/>
      <c r="L60" s="8">
        <f>ROUND(IF(J60=0, IF(H60=0, 0, 1), H60/J60),5)</f>
        <v>0.95223999999999998</v>
      </c>
      <c r="M60" s="7"/>
      <c r="N60" s="6">
        <f>ROUND(SUM(N46:N48)+SUM(N52:N53)+SUM(N57:N59),5)</f>
        <v>0</v>
      </c>
      <c r="O60" s="7"/>
      <c r="P60" s="6"/>
      <c r="Q60" s="7"/>
      <c r="R60" s="8"/>
      <c r="S60" s="7"/>
      <c r="T60" s="6">
        <f>ROUND(SUM(T46:T48)+SUM(T52:T53)+SUM(T57:T59),5)</f>
        <v>0</v>
      </c>
      <c r="U60" s="7"/>
      <c r="V60" s="6"/>
      <c r="W60" s="7"/>
      <c r="X60" s="8"/>
      <c r="Y60" s="7"/>
      <c r="Z60" s="6">
        <f t="shared" si="10"/>
        <v>38565.83</v>
      </c>
      <c r="AA60" s="7"/>
      <c r="AB60" s="6">
        <f t="shared" si="11"/>
        <v>40500</v>
      </c>
      <c r="AC60" s="7"/>
      <c r="AD60" s="8">
        <f t="shared" si="12"/>
        <v>0.95223999999999998</v>
      </c>
    </row>
    <row r="61" spans="1:30" outlineLevel="2" x14ac:dyDescent="0.35">
      <c r="A61" s="2"/>
      <c r="B61" s="2"/>
      <c r="C61" s="2"/>
      <c r="D61" s="2"/>
      <c r="E61" s="2" t="s">
        <v>70</v>
      </c>
      <c r="F61" s="2"/>
      <c r="G61" s="2"/>
      <c r="H61" s="6"/>
      <c r="I61" s="7"/>
      <c r="J61" s="6"/>
      <c r="K61" s="7"/>
      <c r="L61" s="8"/>
      <c r="M61" s="7"/>
      <c r="N61" s="6"/>
      <c r="O61" s="7"/>
      <c r="P61" s="6"/>
      <c r="Q61" s="7"/>
      <c r="R61" s="8"/>
      <c r="S61" s="7"/>
      <c r="T61" s="6"/>
      <c r="U61" s="7"/>
      <c r="V61" s="6"/>
      <c r="W61" s="7"/>
      <c r="X61" s="8"/>
      <c r="Y61" s="7"/>
      <c r="Z61" s="6"/>
      <c r="AA61" s="7"/>
      <c r="AB61" s="6"/>
      <c r="AC61" s="7"/>
      <c r="AD61" s="8"/>
    </row>
    <row r="62" spans="1:30" outlineLevel="2" x14ac:dyDescent="0.35">
      <c r="A62" s="2"/>
      <c r="B62" s="2"/>
      <c r="C62" s="2"/>
      <c r="D62" s="2"/>
      <c r="E62" s="2"/>
      <c r="F62" s="2" t="s">
        <v>71</v>
      </c>
      <c r="G62" s="2"/>
      <c r="H62" s="6">
        <v>3475.29</v>
      </c>
      <c r="I62" s="7"/>
      <c r="J62" s="6">
        <v>3400</v>
      </c>
      <c r="K62" s="7"/>
      <c r="L62" s="8">
        <f>ROUND(IF(J62=0, IF(H62=0, 0, 1), H62/J62),5)</f>
        <v>1.02214</v>
      </c>
      <c r="M62" s="7"/>
      <c r="N62" s="6">
        <v>0</v>
      </c>
      <c r="O62" s="7"/>
      <c r="P62" s="6"/>
      <c r="Q62" s="7"/>
      <c r="R62" s="8"/>
      <c r="S62" s="7"/>
      <c r="T62" s="6">
        <v>0</v>
      </c>
      <c r="U62" s="7"/>
      <c r="V62" s="6"/>
      <c r="W62" s="7"/>
      <c r="X62" s="8"/>
      <c r="Y62" s="7"/>
      <c r="Z62" s="6">
        <f t="shared" ref="Z62:Z67" si="13">ROUND(H62+N62+T62,5)</f>
        <v>3475.29</v>
      </c>
      <c r="AA62" s="7"/>
      <c r="AB62" s="6">
        <f t="shared" ref="AB62:AB67" si="14">ROUND(J62+P62+V62,5)</f>
        <v>3400</v>
      </c>
      <c r="AC62" s="7"/>
      <c r="AD62" s="8">
        <f t="shared" ref="AD62:AD67" si="15">ROUND(IF(AB62=0, IF(Z62=0, 0, 1), Z62/AB62),5)</f>
        <v>1.02214</v>
      </c>
    </row>
    <row r="63" spans="1:30" outlineLevel="2" x14ac:dyDescent="0.35">
      <c r="A63" s="2"/>
      <c r="B63" s="2"/>
      <c r="C63" s="2"/>
      <c r="D63" s="2"/>
      <c r="E63" s="2"/>
      <c r="F63" s="2" t="s">
        <v>72</v>
      </c>
      <c r="G63" s="2"/>
      <c r="H63" s="6">
        <v>9167.7000000000007</v>
      </c>
      <c r="I63" s="7"/>
      <c r="J63" s="6">
        <v>8600</v>
      </c>
      <c r="K63" s="7"/>
      <c r="L63" s="8">
        <f>ROUND(IF(J63=0, IF(H63=0, 0, 1), H63/J63),5)</f>
        <v>1.0660099999999999</v>
      </c>
      <c r="M63" s="7"/>
      <c r="N63" s="6">
        <v>0</v>
      </c>
      <c r="O63" s="7"/>
      <c r="P63" s="6"/>
      <c r="Q63" s="7"/>
      <c r="R63" s="8"/>
      <c r="S63" s="7"/>
      <c r="T63" s="6">
        <v>0</v>
      </c>
      <c r="U63" s="7"/>
      <c r="V63" s="6"/>
      <c r="W63" s="7"/>
      <c r="X63" s="8"/>
      <c r="Y63" s="7"/>
      <c r="Z63" s="6">
        <f t="shared" si="13"/>
        <v>9167.7000000000007</v>
      </c>
      <c r="AA63" s="7"/>
      <c r="AB63" s="6">
        <f t="shared" si="14"/>
        <v>8600</v>
      </c>
      <c r="AC63" s="7"/>
      <c r="AD63" s="8">
        <f t="shared" si="15"/>
        <v>1.0660099999999999</v>
      </c>
    </row>
    <row r="64" spans="1:30" outlineLevel="2" x14ac:dyDescent="0.35">
      <c r="A64" s="2"/>
      <c r="B64" s="2"/>
      <c r="C64" s="2"/>
      <c r="D64" s="2"/>
      <c r="E64" s="2"/>
      <c r="F64" s="2" t="s">
        <v>73</v>
      </c>
      <c r="G64" s="2"/>
      <c r="H64" s="6">
        <v>0</v>
      </c>
      <c r="I64" s="7"/>
      <c r="J64" s="6">
        <v>12000</v>
      </c>
      <c r="K64" s="7"/>
      <c r="L64" s="8">
        <f>ROUND(IF(J64=0, IF(H64=0, 0, 1), H64/J64),5)</f>
        <v>0</v>
      </c>
      <c r="M64" s="7"/>
      <c r="N64" s="6">
        <v>0</v>
      </c>
      <c r="O64" s="7"/>
      <c r="P64" s="6"/>
      <c r="Q64" s="7"/>
      <c r="R64" s="8"/>
      <c r="S64" s="7"/>
      <c r="T64" s="6">
        <v>0</v>
      </c>
      <c r="U64" s="7"/>
      <c r="V64" s="6"/>
      <c r="W64" s="7"/>
      <c r="X64" s="8"/>
      <c r="Y64" s="7"/>
      <c r="Z64" s="6">
        <f t="shared" si="13"/>
        <v>0</v>
      </c>
      <c r="AA64" s="7"/>
      <c r="AB64" s="6">
        <f t="shared" si="14"/>
        <v>12000</v>
      </c>
      <c r="AC64" s="7"/>
      <c r="AD64" s="8">
        <f t="shared" si="15"/>
        <v>0</v>
      </c>
    </row>
    <row r="65" spans="1:30" ht="15" outlineLevel="2" thickBot="1" x14ac:dyDescent="0.4">
      <c r="A65" s="2"/>
      <c r="B65" s="2"/>
      <c r="C65" s="2"/>
      <c r="D65" s="2"/>
      <c r="E65" s="2"/>
      <c r="F65" s="2" t="s">
        <v>74</v>
      </c>
      <c r="G65" s="2"/>
      <c r="H65" s="9">
        <v>1360.88</v>
      </c>
      <c r="I65" s="7"/>
      <c r="J65" s="9">
        <v>3500</v>
      </c>
      <c r="K65" s="7"/>
      <c r="L65" s="10">
        <f>ROUND(IF(J65=0, IF(H65=0, 0, 1), H65/J65),5)</f>
        <v>0.38882</v>
      </c>
      <c r="M65" s="7"/>
      <c r="N65" s="9">
        <v>0</v>
      </c>
      <c r="O65" s="7"/>
      <c r="P65" s="6"/>
      <c r="Q65" s="7"/>
      <c r="R65" s="8"/>
      <c r="S65" s="7"/>
      <c r="T65" s="9">
        <v>0</v>
      </c>
      <c r="U65" s="7"/>
      <c r="V65" s="6"/>
      <c r="W65" s="7"/>
      <c r="X65" s="8"/>
      <c r="Y65" s="7"/>
      <c r="Z65" s="9">
        <f t="shared" si="13"/>
        <v>1360.88</v>
      </c>
      <c r="AA65" s="7"/>
      <c r="AB65" s="9">
        <f t="shared" si="14"/>
        <v>3500</v>
      </c>
      <c r="AC65" s="7"/>
      <c r="AD65" s="10">
        <f t="shared" si="15"/>
        <v>0.38882</v>
      </c>
    </row>
    <row r="66" spans="1:30" outlineLevel="1" x14ac:dyDescent="0.35">
      <c r="A66" s="2"/>
      <c r="B66" s="2"/>
      <c r="C66" s="2"/>
      <c r="D66" s="2"/>
      <c r="E66" s="2" t="s">
        <v>75</v>
      </c>
      <c r="F66" s="2"/>
      <c r="G66" s="2"/>
      <c r="H66" s="6">
        <f>ROUND(SUM(H61:H65),5)</f>
        <v>14003.87</v>
      </c>
      <c r="I66" s="7"/>
      <c r="J66" s="6">
        <f>ROUND(SUM(J61:J65),5)</f>
        <v>27500</v>
      </c>
      <c r="K66" s="7"/>
      <c r="L66" s="8">
        <f>ROUND(IF(J66=0, IF(H66=0, 0, 1), H66/J66),5)</f>
        <v>0.50922999999999996</v>
      </c>
      <c r="M66" s="7"/>
      <c r="N66" s="6">
        <f>ROUND(SUM(N61:N65),5)</f>
        <v>0</v>
      </c>
      <c r="O66" s="7"/>
      <c r="P66" s="6"/>
      <c r="Q66" s="7"/>
      <c r="R66" s="8"/>
      <c r="S66" s="7"/>
      <c r="T66" s="6">
        <f>ROUND(SUM(T61:T65),5)</f>
        <v>0</v>
      </c>
      <c r="U66" s="7"/>
      <c r="V66" s="6"/>
      <c r="W66" s="7"/>
      <c r="X66" s="8"/>
      <c r="Y66" s="7"/>
      <c r="Z66" s="6">
        <f t="shared" si="13"/>
        <v>14003.87</v>
      </c>
      <c r="AA66" s="7"/>
      <c r="AB66" s="6">
        <f t="shared" si="14"/>
        <v>27500</v>
      </c>
      <c r="AC66" s="7"/>
      <c r="AD66" s="8">
        <f t="shared" si="15"/>
        <v>0.50922999999999996</v>
      </c>
    </row>
    <row r="67" spans="1:30" outlineLevel="1" x14ac:dyDescent="0.35">
      <c r="A67" s="2"/>
      <c r="B67" s="2"/>
      <c r="C67" s="2"/>
      <c r="D67" s="2"/>
      <c r="E67" s="2" t="s">
        <v>76</v>
      </c>
      <c r="F67" s="2"/>
      <c r="G67" s="2"/>
      <c r="H67" s="6">
        <v>0</v>
      </c>
      <c r="I67" s="7"/>
      <c r="J67" s="6"/>
      <c r="K67" s="7"/>
      <c r="L67" s="8"/>
      <c r="M67" s="7"/>
      <c r="N67" s="6">
        <v>0</v>
      </c>
      <c r="O67" s="7"/>
      <c r="P67" s="6"/>
      <c r="Q67" s="7"/>
      <c r="R67" s="8"/>
      <c r="S67" s="7"/>
      <c r="T67" s="6">
        <v>28020.6</v>
      </c>
      <c r="U67" s="7"/>
      <c r="V67" s="6">
        <v>28000</v>
      </c>
      <c r="W67" s="7"/>
      <c r="X67" s="8">
        <f>ROUND(IF(V67=0, IF(T67=0, 0, 1), T67/V67),5)</f>
        <v>1.00074</v>
      </c>
      <c r="Y67" s="7"/>
      <c r="Z67" s="6">
        <f t="shared" si="13"/>
        <v>28020.6</v>
      </c>
      <c r="AA67" s="7"/>
      <c r="AB67" s="6">
        <f t="shared" si="14"/>
        <v>28000</v>
      </c>
      <c r="AC67" s="7"/>
      <c r="AD67" s="8">
        <f t="shared" si="15"/>
        <v>1.00074</v>
      </c>
    </row>
    <row r="68" spans="1:30" outlineLevel="2" x14ac:dyDescent="0.35">
      <c r="A68" s="2"/>
      <c r="B68" s="2"/>
      <c r="C68" s="2"/>
      <c r="D68" s="2"/>
      <c r="E68" s="2" t="s">
        <v>77</v>
      </c>
      <c r="F68" s="2"/>
      <c r="G68" s="2"/>
      <c r="H68" s="6"/>
      <c r="I68" s="7"/>
      <c r="J68" s="6"/>
      <c r="K68" s="7"/>
      <c r="L68" s="8"/>
      <c r="M68" s="7"/>
      <c r="N68" s="6"/>
      <c r="O68" s="7"/>
      <c r="P68" s="6"/>
      <c r="Q68" s="7"/>
      <c r="R68" s="8"/>
      <c r="S68" s="7"/>
      <c r="T68" s="6"/>
      <c r="U68" s="7"/>
      <c r="V68" s="6"/>
      <c r="W68" s="7"/>
      <c r="X68" s="8"/>
      <c r="Y68" s="7"/>
      <c r="Z68" s="6"/>
      <c r="AA68" s="7"/>
      <c r="AB68" s="6"/>
      <c r="AC68" s="7"/>
      <c r="AD68" s="8"/>
    </row>
    <row r="69" spans="1:30" outlineLevel="2" x14ac:dyDescent="0.35">
      <c r="A69" s="2"/>
      <c r="B69" s="2"/>
      <c r="C69" s="2"/>
      <c r="D69" s="2"/>
      <c r="E69" s="2"/>
      <c r="F69" s="2" t="s">
        <v>94</v>
      </c>
      <c r="G69" s="2"/>
      <c r="H69" s="6">
        <v>0</v>
      </c>
      <c r="I69" s="7"/>
      <c r="J69" s="6"/>
      <c r="K69" s="7"/>
      <c r="L69" s="8"/>
      <c r="M69" s="7"/>
      <c r="N69" s="6">
        <v>0</v>
      </c>
      <c r="O69" s="7"/>
      <c r="P69" s="6"/>
      <c r="Q69" s="7"/>
      <c r="R69" s="8"/>
      <c r="S69" s="7"/>
      <c r="T69" s="6">
        <v>52283.3</v>
      </c>
      <c r="U69" s="7"/>
      <c r="V69" s="6">
        <v>50000</v>
      </c>
      <c r="W69" s="7"/>
      <c r="X69" s="8">
        <f>ROUND(IF(V69=0, IF(T69=0, 0, 1), T69/V69),5)</f>
        <v>1.0456700000000001</v>
      </c>
      <c r="Y69" s="7"/>
      <c r="Z69" s="6">
        <f t="shared" ref="Z69:Z81" si="16">ROUND(H69+N69+T69,5)</f>
        <v>52283.3</v>
      </c>
      <c r="AA69" s="7"/>
      <c r="AB69" s="6">
        <f t="shared" ref="AB69:AB81" si="17">ROUND(J69+P69+V69,5)</f>
        <v>50000</v>
      </c>
      <c r="AC69" s="7"/>
      <c r="AD69" s="8">
        <f t="shared" ref="AD69:AD81" si="18">ROUND(IF(AB69=0, IF(Z69=0, 0, 1), Z69/AB69),5)</f>
        <v>1.0456700000000001</v>
      </c>
    </row>
    <row r="70" spans="1:30" outlineLevel="2" x14ac:dyDescent="0.35">
      <c r="A70" s="2"/>
      <c r="B70" s="2"/>
      <c r="C70" s="2"/>
      <c r="D70" s="2"/>
      <c r="E70" s="2"/>
      <c r="F70" s="2" t="s">
        <v>99</v>
      </c>
      <c r="G70" s="2"/>
      <c r="H70" s="6">
        <v>0</v>
      </c>
      <c r="I70" s="7"/>
      <c r="J70" s="6"/>
      <c r="K70" s="7"/>
      <c r="L70" s="8"/>
      <c r="M70" s="7"/>
      <c r="N70" s="6">
        <v>0</v>
      </c>
      <c r="O70" s="7"/>
      <c r="P70" s="6"/>
      <c r="Q70" s="7"/>
      <c r="R70" s="8"/>
      <c r="S70" s="7"/>
      <c r="T70" s="6">
        <v>1152</v>
      </c>
      <c r="U70" s="7"/>
      <c r="V70" s="6">
        <v>10000</v>
      </c>
      <c r="W70" s="7"/>
      <c r="X70" s="8">
        <f>ROUND(IF(V70=0, IF(T70=0, 0, 1), T70/V70),5)</f>
        <v>0.1152</v>
      </c>
      <c r="Y70" s="7"/>
      <c r="Z70" s="6">
        <f t="shared" si="16"/>
        <v>1152</v>
      </c>
      <c r="AA70" s="7"/>
      <c r="AB70" s="6">
        <f t="shared" si="17"/>
        <v>10000</v>
      </c>
      <c r="AC70" s="7"/>
      <c r="AD70" s="8">
        <f t="shared" si="18"/>
        <v>0.1152</v>
      </c>
    </row>
    <row r="71" spans="1:30" outlineLevel="2" x14ac:dyDescent="0.35">
      <c r="A71" s="2"/>
      <c r="B71" s="2"/>
      <c r="C71" s="2"/>
      <c r="D71" s="2"/>
      <c r="E71" s="2"/>
      <c r="F71" s="2" t="s">
        <v>78</v>
      </c>
      <c r="G71" s="2"/>
      <c r="H71" s="6">
        <v>0</v>
      </c>
      <c r="I71" s="7"/>
      <c r="J71" s="6"/>
      <c r="K71" s="7"/>
      <c r="L71" s="8"/>
      <c r="M71" s="7"/>
      <c r="N71" s="6">
        <v>0</v>
      </c>
      <c r="O71" s="7"/>
      <c r="P71" s="6">
        <v>3000</v>
      </c>
      <c r="Q71" s="7"/>
      <c r="R71" s="8">
        <f>ROUND(IF(P71=0, IF(N71=0, 0, 1), N71/P71),5)</f>
        <v>0</v>
      </c>
      <c r="S71" s="7"/>
      <c r="T71" s="6">
        <v>0</v>
      </c>
      <c r="U71" s="7"/>
      <c r="V71" s="6"/>
      <c r="W71" s="7"/>
      <c r="X71" s="8"/>
      <c r="Y71" s="7"/>
      <c r="Z71" s="6">
        <f t="shared" si="16"/>
        <v>0</v>
      </c>
      <c r="AA71" s="7"/>
      <c r="AB71" s="6">
        <f t="shared" si="17"/>
        <v>3000</v>
      </c>
      <c r="AC71" s="7"/>
      <c r="AD71" s="8">
        <f t="shared" si="18"/>
        <v>0</v>
      </c>
    </row>
    <row r="72" spans="1:30" outlineLevel="2" x14ac:dyDescent="0.35">
      <c r="A72" s="2"/>
      <c r="B72" s="2"/>
      <c r="C72" s="2"/>
      <c r="D72" s="2"/>
      <c r="E72" s="2"/>
      <c r="F72" s="2" t="s">
        <v>79</v>
      </c>
      <c r="G72" s="2"/>
      <c r="H72" s="6">
        <v>0</v>
      </c>
      <c r="I72" s="7"/>
      <c r="J72" s="6"/>
      <c r="K72" s="7"/>
      <c r="L72" s="8"/>
      <c r="M72" s="7"/>
      <c r="N72" s="6">
        <v>0</v>
      </c>
      <c r="O72" s="7"/>
      <c r="P72" s="6"/>
      <c r="Q72" s="7"/>
      <c r="R72" s="8"/>
      <c r="S72" s="7"/>
      <c r="T72" s="6">
        <v>19950.8</v>
      </c>
      <c r="U72" s="7"/>
      <c r="V72" s="6">
        <v>100000</v>
      </c>
      <c r="W72" s="7"/>
      <c r="X72" s="8">
        <f>ROUND(IF(V72=0, IF(T72=0, 0, 1), T72/V72),5)</f>
        <v>0.19950999999999999</v>
      </c>
      <c r="Y72" s="7"/>
      <c r="Z72" s="6">
        <f t="shared" si="16"/>
        <v>19950.8</v>
      </c>
      <c r="AA72" s="7"/>
      <c r="AB72" s="6">
        <f t="shared" si="17"/>
        <v>100000</v>
      </c>
      <c r="AC72" s="7"/>
      <c r="AD72" s="8">
        <f t="shared" si="18"/>
        <v>0.19950999999999999</v>
      </c>
    </row>
    <row r="73" spans="1:30" outlineLevel="2" x14ac:dyDescent="0.35">
      <c r="A73" s="2"/>
      <c r="B73" s="2"/>
      <c r="C73" s="2"/>
      <c r="D73" s="2"/>
      <c r="E73" s="2"/>
      <c r="F73" s="2" t="s">
        <v>81</v>
      </c>
      <c r="G73" s="2"/>
      <c r="H73" s="6">
        <v>0</v>
      </c>
      <c r="I73" s="7"/>
      <c r="J73" s="6"/>
      <c r="K73" s="7"/>
      <c r="L73" s="8"/>
      <c r="M73" s="7"/>
      <c r="N73" s="6">
        <v>33307.620000000003</v>
      </c>
      <c r="O73" s="7"/>
      <c r="P73" s="6">
        <v>15000</v>
      </c>
      <c r="Q73" s="7"/>
      <c r="R73" s="8">
        <f>ROUND(IF(P73=0, IF(N73=0, 0, 1), N73/P73),5)</f>
        <v>2.22051</v>
      </c>
      <c r="S73" s="7"/>
      <c r="T73" s="6">
        <v>28948.09</v>
      </c>
      <c r="U73" s="7"/>
      <c r="V73" s="6">
        <v>15000</v>
      </c>
      <c r="W73" s="7"/>
      <c r="X73" s="8">
        <f>ROUND(IF(V73=0, IF(T73=0, 0, 1), T73/V73),5)</f>
        <v>1.92987</v>
      </c>
      <c r="Y73" s="7"/>
      <c r="Z73" s="6">
        <f t="shared" si="16"/>
        <v>62255.71</v>
      </c>
      <c r="AA73" s="7"/>
      <c r="AB73" s="6">
        <f t="shared" si="17"/>
        <v>30000</v>
      </c>
      <c r="AC73" s="7"/>
      <c r="AD73" s="8">
        <f t="shared" si="18"/>
        <v>2.0751900000000001</v>
      </c>
    </row>
    <row r="74" spans="1:30" outlineLevel="2" x14ac:dyDescent="0.35">
      <c r="A74" s="2"/>
      <c r="B74" s="2"/>
      <c r="C74" s="2"/>
      <c r="D74" s="2"/>
      <c r="E74" s="2"/>
      <c r="F74" s="2" t="s">
        <v>100</v>
      </c>
      <c r="G74" s="2"/>
      <c r="H74" s="6">
        <v>0</v>
      </c>
      <c r="I74" s="7"/>
      <c r="J74" s="6"/>
      <c r="K74" s="7"/>
      <c r="L74" s="8"/>
      <c r="M74" s="7"/>
      <c r="N74" s="6">
        <v>2577.96</v>
      </c>
      <c r="O74" s="7"/>
      <c r="P74" s="6">
        <v>10000</v>
      </c>
      <c r="Q74" s="7"/>
      <c r="R74" s="8">
        <f>ROUND(IF(P74=0, IF(N74=0, 0, 1), N74/P74),5)</f>
        <v>0.25779999999999997</v>
      </c>
      <c r="S74" s="7"/>
      <c r="T74" s="6">
        <v>0</v>
      </c>
      <c r="U74" s="7"/>
      <c r="V74" s="6"/>
      <c r="W74" s="7"/>
      <c r="X74" s="8"/>
      <c r="Y74" s="7"/>
      <c r="Z74" s="6">
        <f t="shared" si="16"/>
        <v>2577.96</v>
      </c>
      <c r="AA74" s="7"/>
      <c r="AB74" s="6">
        <f t="shared" si="17"/>
        <v>10000</v>
      </c>
      <c r="AC74" s="7"/>
      <c r="AD74" s="8">
        <f t="shared" si="18"/>
        <v>0.25779999999999997</v>
      </c>
    </row>
    <row r="75" spans="1:30" ht="15" outlineLevel="2" thickBot="1" x14ac:dyDescent="0.4">
      <c r="A75" s="2"/>
      <c r="B75" s="2"/>
      <c r="C75" s="2"/>
      <c r="D75" s="2"/>
      <c r="E75" s="2"/>
      <c r="F75" s="2" t="s">
        <v>96</v>
      </c>
      <c r="G75" s="2"/>
      <c r="H75" s="9">
        <v>0</v>
      </c>
      <c r="I75" s="7"/>
      <c r="J75" s="6"/>
      <c r="K75" s="7"/>
      <c r="L75" s="8"/>
      <c r="M75" s="7"/>
      <c r="N75" s="9">
        <v>0</v>
      </c>
      <c r="O75" s="7"/>
      <c r="P75" s="9"/>
      <c r="Q75" s="7"/>
      <c r="R75" s="10"/>
      <c r="S75" s="7"/>
      <c r="T75" s="9">
        <v>0</v>
      </c>
      <c r="U75" s="7"/>
      <c r="V75" s="9">
        <v>3000</v>
      </c>
      <c r="W75" s="7"/>
      <c r="X75" s="10">
        <f>ROUND(IF(V75=0, IF(T75=0, 0, 1), T75/V75),5)</f>
        <v>0</v>
      </c>
      <c r="Y75" s="7"/>
      <c r="Z75" s="9">
        <f t="shared" si="16"/>
        <v>0</v>
      </c>
      <c r="AA75" s="7"/>
      <c r="AB75" s="9">
        <f t="shared" si="17"/>
        <v>3000</v>
      </c>
      <c r="AC75" s="7"/>
      <c r="AD75" s="10">
        <f t="shared" si="18"/>
        <v>0</v>
      </c>
    </row>
    <row r="76" spans="1:30" outlineLevel="1" x14ac:dyDescent="0.35">
      <c r="A76" s="2"/>
      <c r="B76" s="2"/>
      <c r="C76" s="2"/>
      <c r="D76" s="2"/>
      <c r="E76" s="2" t="s">
        <v>82</v>
      </c>
      <c r="F76" s="2"/>
      <c r="G76" s="2"/>
      <c r="H76" s="6">
        <f>ROUND(SUM(H68:H75),5)</f>
        <v>0</v>
      </c>
      <c r="I76" s="7"/>
      <c r="J76" s="6"/>
      <c r="K76" s="7"/>
      <c r="L76" s="8"/>
      <c r="M76" s="7"/>
      <c r="N76" s="6">
        <f>ROUND(SUM(N68:N75),5)</f>
        <v>35885.58</v>
      </c>
      <c r="O76" s="7"/>
      <c r="P76" s="6">
        <f>ROUND(SUM(P68:P75),5)</f>
        <v>28000</v>
      </c>
      <c r="Q76" s="7"/>
      <c r="R76" s="8">
        <f t="shared" ref="R76:R81" si="19">ROUND(IF(P76=0, IF(N76=0, 0, 1), N76/P76),5)</f>
        <v>1.28163</v>
      </c>
      <c r="S76" s="7"/>
      <c r="T76" s="6">
        <f>ROUND(SUM(T68:T75),5)</f>
        <v>102334.19</v>
      </c>
      <c r="U76" s="7"/>
      <c r="V76" s="6">
        <f>ROUND(SUM(V68:V75),5)</f>
        <v>178000</v>
      </c>
      <c r="W76" s="7"/>
      <c r="X76" s="8">
        <f>ROUND(IF(V76=0, IF(T76=0, 0, 1), T76/V76),5)</f>
        <v>0.57491000000000003</v>
      </c>
      <c r="Y76" s="7"/>
      <c r="Z76" s="6">
        <f t="shared" si="16"/>
        <v>138219.76999999999</v>
      </c>
      <c r="AA76" s="7"/>
      <c r="AB76" s="6">
        <f t="shared" si="17"/>
        <v>206000</v>
      </c>
      <c r="AC76" s="7"/>
      <c r="AD76" s="8">
        <f t="shared" si="18"/>
        <v>0.67096999999999996</v>
      </c>
    </row>
    <row r="77" spans="1:30" ht="15" outlineLevel="1" thickBot="1" x14ac:dyDescent="0.4">
      <c r="A77" s="2"/>
      <c r="B77" s="2"/>
      <c r="C77" s="2"/>
      <c r="D77" s="2"/>
      <c r="E77" s="2" t="s">
        <v>84</v>
      </c>
      <c r="F77" s="2"/>
      <c r="G77" s="2"/>
      <c r="H77" s="6">
        <v>0</v>
      </c>
      <c r="I77" s="7"/>
      <c r="J77" s="6"/>
      <c r="K77" s="7"/>
      <c r="L77" s="8"/>
      <c r="M77" s="7"/>
      <c r="N77" s="6">
        <v>5190.59</v>
      </c>
      <c r="O77" s="7"/>
      <c r="P77" s="6">
        <v>9000</v>
      </c>
      <c r="Q77" s="7"/>
      <c r="R77" s="8">
        <f t="shared" si="19"/>
        <v>0.57672999999999996</v>
      </c>
      <c r="S77" s="7"/>
      <c r="T77" s="6">
        <v>5760.57</v>
      </c>
      <c r="U77" s="7"/>
      <c r="V77" s="6">
        <v>3000</v>
      </c>
      <c r="W77" s="7"/>
      <c r="X77" s="8">
        <f>ROUND(IF(V77=0, IF(T77=0, 0, 1), T77/V77),5)</f>
        <v>1.9201900000000001</v>
      </c>
      <c r="Y77" s="7"/>
      <c r="Z77" s="6">
        <f t="shared" si="16"/>
        <v>10951.16</v>
      </c>
      <c r="AA77" s="7"/>
      <c r="AB77" s="6">
        <f t="shared" si="17"/>
        <v>12000</v>
      </c>
      <c r="AC77" s="7"/>
      <c r="AD77" s="8">
        <f t="shared" si="18"/>
        <v>0.91259999999999997</v>
      </c>
    </row>
    <row r="78" spans="1:30" ht="15" thickBot="1" x14ac:dyDescent="0.4">
      <c r="A78" s="2"/>
      <c r="B78" s="2"/>
      <c r="C78" s="2"/>
      <c r="D78" s="2" t="s">
        <v>85</v>
      </c>
      <c r="E78" s="2"/>
      <c r="F78" s="2"/>
      <c r="G78" s="2"/>
      <c r="H78" s="11">
        <f>ROUND(SUM(H25:H26)+H45+H60+SUM(H66:H67)+SUM(H76:H77),5)</f>
        <v>187269.46</v>
      </c>
      <c r="I78" s="7"/>
      <c r="J78" s="11">
        <f>ROUND(SUM(J25:J26)+J45+J60+SUM(J66:J67)+SUM(J76:J77),5)</f>
        <v>196500.2</v>
      </c>
      <c r="K78" s="7"/>
      <c r="L78" s="12">
        <f>ROUND(IF(J78=0, IF(H78=0, 0, 1), H78/J78),5)</f>
        <v>0.95301999999999998</v>
      </c>
      <c r="M78" s="7"/>
      <c r="N78" s="11">
        <f>ROUND(SUM(N25:N26)+N45+N60+SUM(N66:N67)+SUM(N76:N77),5)</f>
        <v>41076.17</v>
      </c>
      <c r="O78" s="7"/>
      <c r="P78" s="11">
        <f>ROUND(SUM(P25:P26)+P45+P60+SUM(P66:P67)+SUM(P76:P77),5)</f>
        <v>37000</v>
      </c>
      <c r="Q78" s="7"/>
      <c r="R78" s="12">
        <f t="shared" si="19"/>
        <v>1.1101700000000001</v>
      </c>
      <c r="S78" s="7"/>
      <c r="T78" s="11">
        <f>ROUND(SUM(T25:T26)+T45+T60+SUM(T66:T67)+SUM(T76:T77),5)</f>
        <v>139057.51999999999</v>
      </c>
      <c r="U78" s="7"/>
      <c r="V78" s="11">
        <f>ROUND(SUM(V25:V26)+V45+V60+SUM(V66:V67)+SUM(V76:V77),5)</f>
        <v>212000</v>
      </c>
      <c r="W78" s="7"/>
      <c r="X78" s="12">
        <f>ROUND(IF(V78=0, IF(T78=0, 0, 1), T78/V78),5)</f>
        <v>0.65593000000000001</v>
      </c>
      <c r="Y78" s="7"/>
      <c r="Z78" s="11">
        <f t="shared" si="16"/>
        <v>367403.15</v>
      </c>
      <c r="AA78" s="7"/>
      <c r="AB78" s="11">
        <f t="shared" si="17"/>
        <v>445500.2</v>
      </c>
      <c r="AC78" s="7"/>
      <c r="AD78" s="12">
        <f t="shared" si="18"/>
        <v>0.82469999999999999</v>
      </c>
    </row>
    <row r="79" spans="1:30" outlineLevel="1" x14ac:dyDescent="0.35">
      <c r="A79" s="2"/>
      <c r="B79" s="2" t="s">
        <v>86</v>
      </c>
      <c r="C79" s="2"/>
      <c r="D79" s="2"/>
      <c r="E79" s="2"/>
      <c r="F79" s="2"/>
      <c r="G79" s="2"/>
      <c r="H79" s="6">
        <f>ROUND(H3+H24-H78,5)</f>
        <v>34563.64</v>
      </c>
      <c r="I79" s="7"/>
      <c r="J79" s="6">
        <f>ROUND(J3+J24-J78,5)</f>
        <v>29599.84</v>
      </c>
      <c r="K79" s="7"/>
      <c r="L79" s="8">
        <f>ROUND(IF(J79=0, IF(H79=0, 0, 1), H79/J79),5)</f>
        <v>1.1677</v>
      </c>
      <c r="M79" s="7"/>
      <c r="N79" s="6">
        <f>ROUND(N3+N24-N78,5)</f>
        <v>-41076.17</v>
      </c>
      <c r="O79" s="7"/>
      <c r="P79" s="6">
        <f>ROUND(P3+P24-P78,5)</f>
        <v>-37000</v>
      </c>
      <c r="Q79" s="7"/>
      <c r="R79" s="8">
        <f t="shared" si="19"/>
        <v>1.1101700000000001</v>
      </c>
      <c r="S79" s="7"/>
      <c r="T79" s="6">
        <f>ROUND(T3+T24-T78,5)</f>
        <v>-54433.120000000003</v>
      </c>
      <c r="U79" s="7"/>
      <c r="V79" s="6">
        <f>ROUND(V3+V24-V78,5)</f>
        <v>-126920</v>
      </c>
      <c r="W79" s="7"/>
      <c r="X79" s="8">
        <f>ROUND(IF(V79=0, IF(T79=0, 0, 1), T79/V79),5)</f>
        <v>0.42887999999999998</v>
      </c>
      <c r="Y79" s="7"/>
      <c r="Z79" s="6">
        <f t="shared" si="16"/>
        <v>-60945.65</v>
      </c>
      <c r="AA79" s="7"/>
      <c r="AB79" s="6">
        <f t="shared" si="17"/>
        <v>-134320.16</v>
      </c>
      <c r="AC79" s="7"/>
      <c r="AD79" s="8">
        <f t="shared" si="18"/>
        <v>0.45373000000000002</v>
      </c>
    </row>
    <row r="80" spans="1:30" ht="15" outlineLevel="1" thickBot="1" x14ac:dyDescent="0.4">
      <c r="A80" s="2"/>
      <c r="B80" s="2" t="s">
        <v>87</v>
      </c>
      <c r="C80" s="2"/>
      <c r="D80" s="2"/>
      <c r="E80" s="2"/>
      <c r="F80" s="2"/>
      <c r="G80" s="2"/>
      <c r="H80" s="6">
        <v>-50004</v>
      </c>
      <c r="I80" s="7"/>
      <c r="J80" s="6">
        <v>-50000.04</v>
      </c>
      <c r="K80" s="7"/>
      <c r="L80" s="8">
        <f>ROUND(IF(J80=0, IF(H80=0, 0, 1), H80/J80),5)</f>
        <v>1.0000800000000001</v>
      </c>
      <c r="M80" s="7"/>
      <c r="N80" s="6">
        <v>50004</v>
      </c>
      <c r="O80" s="7"/>
      <c r="P80" s="6">
        <v>50000</v>
      </c>
      <c r="Q80" s="7"/>
      <c r="R80" s="8">
        <f t="shared" si="19"/>
        <v>1.0000800000000001</v>
      </c>
      <c r="S80" s="7"/>
      <c r="T80" s="6">
        <v>0</v>
      </c>
      <c r="U80" s="7"/>
      <c r="V80" s="6"/>
      <c r="W80" s="7"/>
      <c r="X80" s="8"/>
      <c r="Y80" s="7"/>
      <c r="Z80" s="6">
        <f t="shared" si="16"/>
        <v>0</v>
      </c>
      <c r="AA80" s="7"/>
      <c r="AB80" s="6">
        <f t="shared" si="17"/>
        <v>-0.04</v>
      </c>
      <c r="AC80" s="7"/>
      <c r="AD80" s="8">
        <f t="shared" si="18"/>
        <v>0</v>
      </c>
    </row>
    <row r="81" spans="1:30" s="15" customFormat="1" ht="11" thickBot="1" x14ac:dyDescent="0.3">
      <c r="A81" s="2" t="s">
        <v>88</v>
      </c>
      <c r="B81" s="2"/>
      <c r="C81" s="2"/>
      <c r="D81" s="2"/>
      <c r="E81" s="2"/>
      <c r="F81" s="2"/>
      <c r="G81" s="2"/>
      <c r="H81" s="13">
        <f>ROUND(SUM(H79:H80),5)</f>
        <v>-15440.36</v>
      </c>
      <c r="I81" s="2"/>
      <c r="J81" s="13">
        <f>ROUND(SUM(J79:J80),5)</f>
        <v>-20400.2</v>
      </c>
      <c r="K81" s="2"/>
      <c r="L81" s="14">
        <f>ROUND(IF(J81=0, IF(H81=0, 0, 1), H81/J81),5)</f>
        <v>0.75687000000000004</v>
      </c>
      <c r="M81" s="2"/>
      <c r="N81" s="13">
        <f>ROUND(SUM(N79:N80),5)</f>
        <v>8927.83</v>
      </c>
      <c r="O81" s="2"/>
      <c r="P81" s="13">
        <f>ROUND(SUM(P79:P80),5)</f>
        <v>13000</v>
      </c>
      <c r="Q81" s="2"/>
      <c r="R81" s="14">
        <f t="shared" si="19"/>
        <v>0.68676000000000004</v>
      </c>
      <c r="S81" s="2"/>
      <c r="T81" s="13">
        <f>ROUND(SUM(T79:T80),5)</f>
        <v>-54433.120000000003</v>
      </c>
      <c r="U81" s="2"/>
      <c r="V81" s="13">
        <f>ROUND(SUM(V79:V80),5)</f>
        <v>-126920</v>
      </c>
      <c r="W81" s="2"/>
      <c r="X81" s="14">
        <f>ROUND(IF(V81=0, IF(T81=0, 0, 1), T81/V81),5)</f>
        <v>0.42887999999999998</v>
      </c>
      <c r="Y81" s="2"/>
      <c r="Z81" s="13">
        <f t="shared" si="16"/>
        <v>-60945.65</v>
      </c>
      <c r="AA81" s="2"/>
      <c r="AB81" s="13">
        <f t="shared" si="17"/>
        <v>-134320.20000000001</v>
      </c>
      <c r="AC81" s="2"/>
      <c r="AD81" s="14">
        <f t="shared" si="18"/>
        <v>0.45373000000000002</v>
      </c>
    </row>
    <row r="82" spans="1:30" ht="15" thickTop="1" x14ac:dyDescent="0.35"/>
  </sheetData>
  <pageMargins left="0.7" right="0.7" top="0.75" bottom="0.75" header="0.1" footer="0.3"/>
  <pageSetup orientation="portrait" r:id="rId1"/>
  <headerFooter>
    <oddHeader>&amp;L&amp;"Arial,Bold"&amp;8 01/25/22&amp;C&amp;"Arial,Bold"&amp;12 Dockton Water Association
&amp;"Arial,Bold"&amp;14 Budget vs Actual by Class
&amp;"Arial,Bold"&amp;10 July 2019 through June 2020</oddHeader>
  </headerFooter>
  <drawing r:id="rId2"/>
  <legacyDrawing r:id="rId3"/>
  <controls>
    <mc:AlternateContent xmlns:mc="http://schemas.openxmlformats.org/markup-compatibility/2006">
      <mc:Choice Requires="x14">
        <control shapeId="7169" r:id="rId4" name="FILTER">
          <controlPr defaultSize="0" autoLine="0" r:id="rId5">
            <anchor moveWithCells="1">
              <from>
                <xdr:col>0</xdr:col>
                <xdr:colOff>0</xdr:colOff>
                <xdr:row>0</xdr:row>
                <xdr:rowOff>0</xdr:rowOff>
              </from>
              <to>
                <xdr:col>4</xdr:col>
                <xdr:colOff>76200</xdr:colOff>
                <xdr:row>1</xdr:row>
                <xdr:rowOff>38100</xdr:rowOff>
              </to>
            </anchor>
          </controlPr>
        </control>
      </mc:Choice>
      <mc:Fallback>
        <control shapeId="7169" r:id="rId4" name="FILTER"/>
      </mc:Fallback>
    </mc:AlternateContent>
    <mc:AlternateContent xmlns:mc="http://schemas.openxmlformats.org/markup-compatibility/2006">
      <mc:Choice Requires="x14">
        <control shapeId="7170" r:id="rId6" name="HEADER">
          <controlPr defaultSize="0" autoLine="0" r:id="rId7">
            <anchor moveWithCells="1">
              <from>
                <xdr:col>0</xdr:col>
                <xdr:colOff>0</xdr:colOff>
                <xdr:row>0</xdr:row>
                <xdr:rowOff>0</xdr:rowOff>
              </from>
              <to>
                <xdr:col>4</xdr:col>
                <xdr:colOff>76200</xdr:colOff>
                <xdr:row>1</xdr:row>
                <xdr:rowOff>38100</xdr:rowOff>
              </to>
            </anchor>
          </controlPr>
        </control>
      </mc:Choice>
      <mc:Fallback>
        <control shapeId="7170" r:id="rId6" name="HEADER"/>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D89"/>
  <sheetViews>
    <sheetView workbookViewId="0"/>
  </sheetViews>
  <sheetFormatPr defaultRowHeight="14.5" outlineLevelRow="3" outlineLevelCol="1" x14ac:dyDescent="0.35"/>
  <cols>
    <col min="1" max="6" width="3" style="15" customWidth="1"/>
    <col min="7" max="7" width="27.90625" style="15" customWidth="1"/>
    <col min="8" max="8" width="12.36328125" bestFit="1" customWidth="1" outlineLevel="1"/>
    <col min="9" max="9" width="2.36328125" customWidth="1" outlineLevel="1"/>
    <col min="10" max="10" width="8.6328125" bestFit="1" customWidth="1" outlineLevel="1"/>
    <col min="11" max="11" width="2.36328125" customWidth="1" outlineLevel="1"/>
    <col min="12" max="12" width="10.36328125" bestFit="1" customWidth="1"/>
    <col min="13" max="13" width="2.36328125" customWidth="1"/>
    <col min="14" max="14" width="12.36328125" bestFit="1" customWidth="1" outlineLevel="1"/>
    <col min="15" max="15" width="2.36328125" customWidth="1" outlineLevel="1"/>
    <col min="16" max="16" width="8.453125" bestFit="1" customWidth="1" outlineLevel="1"/>
    <col min="17" max="17" width="2.36328125" customWidth="1" outlineLevel="1"/>
    <col min="18" max="18" width="10.36328125" bestFit="1" customWidth="1"/>
    <col min="19" max="19" width="2.36328125" customWidth="1"/>
    <col min="20" max="20" width="12.36328125" bestFit="1" customWidth="1" outlineLevel="1"/>
    <col min="21" max="21" width="2.36328125" customWidth="1" outlineLevel="1"/>
    <col min="22" max="22" width="9.36328125" bestFit="1" customWidth="1" outlineLevel="1"/>
    <col min="23" max="23" width="2.36328125" customWidth="1" outlineLevel="1"/>
    <col min="24" max="24" width="10.36328125" bestFit="1" customWidth="1"/>
    <col min="25" max="25" width="2.36328125" customWidth="1"/>
    <col min="26" max="26" width="12.36328125" bestFit="1" customWidth="1"/>
    <col min="27" max="27" width="2.36328125" customWidth="1"/>
    <col min="28" max="28" width="9.36328125" bestFit="1" customWidth="1"/>
    <col min="29" max="29" width="2.36328125" customWidth="1"/>
    <col min="30" max="30" width="10.36328125" bestFit="1" customWidth="1"/>
  </cols>
  <sheetData>
    <row r="1" spans="1:30" ht="15" thickBot="1" x14ac:dyDescent="0.4">
      <c r="A1" s="2"/>
      <c r="B1" s="2"/>
      <c r="C1" s="2"/>
      <c r="D1" s="2"/>
      <c r="E1" s="2"/>
      <c r="F1" s="2"/>
      <c r="G1" s="2"/>
      <c r="H1" s="4" t="s">
        <v>0</v>
      </c>
      <c r="I1" s="3"/>
      <c r="J1" s="5"/>
      <c r="K1" s="3"/>
      <c r="L1" s="5"/>
      <c r="M1" s="1"/>
      <c r="N1" s="4" t="s">
        <v>1</v>
      </c>
      <c r="O1" s="3"/>
      <c r="P1" s="5"/>
      <c r="Q1" s="3"/>
      <c r="R1" s="5"/>
      <c r="S1" s="1"/>
      <c r="T1" s="4" t="s">
        <v>2</v>
      </c>
      <c r="U1" s="3"/>
      <c r="V1" s="5"/>
      <c r="W1" s="3"/>
      <c r="X1" s="5"/>
      <c r="Y1" s="1"/>
      <c r="Z1" s="4" t="s">
        <v>3</v>
      </c>
      <c r="AA1" s="3"/>
      <c r="AB1" s="5"/>
      <c r="AC1" s="3"/>
      <c r="AD1" s="5"/>
    </row>
    <row r="2" spans="1:30" s="19" customFormat="1" ht="15.5" thickTop="1" thickBot="1" x14ac:dyDescent="0.4">
      <c r="A2" s="16"/>
      <c r="B2" s="16"/>
      <c r="C2" s="16"/>
      <c r="D2" s="16"/>
      <c r="E2" s="16"/>
      <c r="F2" s="16"/>
      <c r="G2" s="16"/>
      <c r="H2" s="17" t="s">
        <v>89</v>
      </c>
      <c r="I2" s="18"/>
      <c r="J2" s="17" t="s">
        <v>5</v>
      </c>
      <c r="K2" s="18"/>
      <c r="L2" s="17" t="s">
        <v>6</v>
      </c>
      <c r="M2" s="18"/>
      <c r="N2" s="17" t="s">
        <v>89</v>
      </c>
      <c r="O2" s="18"/>
      <c r="P2" s="17" t="s">
        <v>5</v>
      </c>
      <c r="Q2" s="18"/>
      <c r="R2" s="17" t="s">
        <v>6</v>
      </c>
      <c r="S2" s="18"/>
      <c r="T2" s="17" t="s">
        <v>89</v>
      </c>
      <c r="U2" s="18"/>
      <c r="V2" s="17" t="s">
        <v>5</v>
      </c>
      <c r="W2" s="18"/>
      <c r="X2" s="17" t="s">
        <v>6</v>
      </c>
      <c r="Y2" s="18"/>
      <c r="Z2" s="17" t="s">
        <v>89</v>
      </c>
      <c r="AA2" s="18"/>
      <c r="AB2" s="17" t="s">
        <v>5</v>
      </c>
      <c r="AC2" s="18"/>
      <c r="AD2" s="17" t="s">
        <v>6</v>
      </c>
    </row>
    <row r="3" spans="1:30" ht="15" thickTop="1" x14ac:dyDescent="0.35">
      <c r="A3" s="2"/>
      <c r="B3" s="2" t="s">
        <v>7</v>
      </c>
      <c r="C3" s="2"/>
      <c r="D3" s="2"/>
      <c r="E3" s="2"/>
      <c r="F3" s="2"/>
      <c r="G3" s="2"/>
      <c r="H3" s="6"/>
      <c r="I3" s="7"/>
      <c r="J3" s="6"/>
      <c r="K3" s="7"/>
      <c r="L3" s="8"/>
      <c r="M3" s="7"/>
      <c r="N3" s="6"/>
      <c r="O3" s="7"/>
      <c r="P3" s="6"/>
      <c r="Q3" s="7"/>
      <c r="R3" s="8"/>
      <c r="S3" s="7"/>
      <c r="T3" s="6"/>
      <c r="U3" s="7"/>
      <c r="V3" s="6"/>
      <c r="W3" s="7"/>
      <c r="X3" s="8"/>
      <c r="Y3" s="7"/>
      <c r="Z3" s="6"/>
      <c r="AA3" s="7"/>
      <c r="AB3" s="6"/>
      <c r="AC3" s="7"/>
      <c r="AD3" s="8"/>
    </row>
    <row r="4" spans="1:30" outlineLevel="1" x14ac:dyDescent="0.35">
      <c r="A4" s="2"/>
      <c r="B4" s="2"/>
      <c r="C4" s="2"/>
      <c r="D4" s="2" t="s">
        <v>8</v>
      </c>
      <c r="E4" s="2"/>
      <c r="F4" s="2"/>
      <c r="G4" s="2"/>
      <c r="H4" s="6"/>
      <c r="I4" s="7"/>
      <c r="J4" s="6"/>
      <c r="K4" s="7"/>
      <c r="L4" s="8"/>
      <c r="M4" s="7"/>
      <c r="N4" s="6"/>
      <c r="O4" s="7"/>
      <c r="P4" s="6"/>
      <c r="Q4" s="7"/>
      <c r="R4" s="8"/>
      <c r="S4" s="7"/>
      <c r="T4" s="6"/>
      <c r="U4" s="7"/>
      <c r="V4" s="6"/>
      <c r="W4" s="7"/>
      <c r="X4" s="8"/>
      <c r="Y4" s="7"/>
      <c r="Z4" s="6"/>
      <c r="AA4" s="7"/>
      <c r="AB4" s="6"/>
      <c r="AC4" s="7"/>
      <c r="AD4" s="8"/>
    </row>
    <row r="5" spans="1:30" outlineLevel="2" x14ac:dyDescent="0.35">
      <c r="A5" s="2"/>
      <c r="B5" s="2"/>
      <c r="C5" s="2"/>
      <c r="D5" s="2"/>
      <c r="E5" s="2" t="s">
        <v>9</v>
      </c>
      <c r="F5" s="2"/>
      <c r="G5" s="2"/>
      <c r="H5" s="6"/>
      <c r="I5" s="7"/>
      <c r="J5" s="6"/>
      <c r="K5" s="7"/>
      <c r="L5" s="8"/>
      <c r="M5" s="7"/>
      <c r="N5" s="6"/>
      <c r="O5" s="7"/>
      <c r="P5" s="6"/>
      <c r="Q5" s="7"/>
      <c r="R5" s="8"/>
      <c r="S5" s="7"/>
      <c r="T5" s="6"/>
      <c r="U5" s="7"/>
      <c r="V5" s="6"/>
      <c r="W5" s="7"/>
      <c r="X5" s="8"/>
      <c r="Y5" s="7"/>
      <c r="Z5" s="6"/>
      <c r="AA5" s="7"/>
      <c r="AB5" s="6"/>
      <c r="AC5" s="7"/>
      <c r="AD5" s="8"/>
    </row>
    <row r="6" spans="1:30" outlineLevel="2" x14ac:dyDescent="0.35">
      <c r="A6" s="2"/>
      <c r="B6" s="2"/>
      <c r="C6" s="2"/>
      <c r="D6" s="2"/>
      <c r="E6" s="2"/>
      <c r="F6" s="2" t="s">
        <v>10</v>
      </c>
      <c r="G6" s="2"/>
      <c r="H6" s="6">
        <v>162029.96</v>
      </c>
      <c r="I6" s="7"/>
      <c r="J6" s="6">
        <v>159200</v>
      </c>
      <c r="K6" s="7"/>
      <c r="L6" s="8">
        <f>ROUND(IF(J6=0, IF(H6=0, 0, 1), H6/J6),5)</f>
        <v>1.0177799999999999</v>
      </c>
      <c r="M6" s="7"/>
      <c r="N6" s="6">
        <v>0</v>
      </c>
      <c r="O6" s="7"/>
      <c r="P6" s="6"/>
      <c r="Q6" s="7"/>
      <c r="R6" s="8"/>
      <c r="S6" s="7"/>
      <c r="T6" s="6">
        <v>14212</v>
      </c>
      <c r="U6" s="7"/>
      <c r="V6" s="6">
        <v>17400</v>
      </c>
      <c r="W6" s="7"/>
      <c r="X6" s="8">
        <f>ROUND(IF(V6=0, IF(T6=0, 0, 1), T6/V6),5)</f>
        <v>0.81677999999999995</v>
      </c>
      <c r="Y6" s="7"/>
      <c r="Z6" s="6">
        <f t="shared" ref="Z6:Z11" si="0">ROUND(H6+N6+T6,5)</f>
        <v>176241.96</v>
      </c>
      <c r="AA6" s="7"/>
      <c r="AB6" s="6">
        <f t="shared" ref="AB6:AB11" si="1">ROUND(J6+P6+V6,5)</f>
        <v>176600</v>
      </c>
      <c r="AC6" s="7"/>
      <c r="AD6" s="8">
        <f t="shared" ref="AD6:AD11" si="2">ROUND(IF(AB6=0, IF(Z6=0, 0, 1), Z6/AB6),5)</f>
        <v>0.99797000000000002</v>
      </c>
    </row>
    <row r="7" spans="1:30" outlineLevel="2" x14ac:dyDescent="0.35">
      <c r="A7" s="2"/>
      <c r="B7" s="2"/>
      <c r="C7" s="2"/>
      <c r="D7" s="2"/>
      <c r="E7" s="2"/>
      <c r="F7" s="2" t="s">
        <v>11</v>
      </c>
      <c r="G7" s="2"/>
      <c r="H7" s="6">
        <v>816</v>
      </c>
      <c r="I7" s="7"/>
      <c r="J7" s="6">
        <v>800</v>
      </c>
      <c r="K7" s="7"/>
      <c r="L7" s="8">
        <f>ROUND(IF(J7=0, IF(H7=0, 0, 1), H7/J7),5)</f>
        <v>1.02</v>
      </c>
      <c r="M7" s="7"/>
      <c r="N7" s="6">
        <v>0</v>
      </c>
      <c r="O7" s="7"/>
      <c r="P7" s="6"/>
      <c r="Q7" s="7"/>
      <c r="R7" s="8"/>
      <c r="S7" s="7"/>
      <c r="T7" s="6">
        <v>0</v>
      </c>
      <c r="U7" s="7"/>
      <c r="V7" s="6"/>
      <c r="W7" s="7"/>
      <c r="X7" s="8"/>
      <c r="Y7" s="7"/>
      <c r="Z7" s="6">
        <f t="shared" si="0"/>
        <v>816</v>
      </c>
      <c r="AA7" s="7"/>
      <c r="AB7" s="6">
        <f t="shared" si="1"/>
        <v>800</v>
      </c>
      <c r="AC7" s="7"/>
      <c r="AD7" s="8">
        <f t="shared" si="2"/>
        <v>1.02</v>
      </c>
    </row>
    <row r="8" spans="1:30" outlineLevel="2" x14ac:dyDescent="0.35">
      <c r="A8" s="2"/>
      <c r="B8" s="2"/>
      <c r="C8" s="2"/>
      <c r="D8" s="2"/>
      <c r="E8" s="2"/>
      <c r="F8" s="2" t="s">
        <v>12</v>
      </c>
      <c r="G8" s="2"/>
      <c r="H8" s="6">
        <v>49188.44</v>
      </c>
      <c r="I8" s="7"/>
      <c r="J8" s="6">
        <v>50000</v>
      </c>
      <c r="K8" s="7"/>
      <c r="L8" s="8">
        <f>ROUND(IF(J8=0, IF(H8=0, 0, 1), H8/J8),5)</f>
        <v>0.98377000000000003</v>
      </c>
      <c r="M8" s="7"/>
      <c r="N8" s="6">
        <v>0</v>
      </c>
      <c r="O8" s="7"/>
      <c r="P8" s="6"/>
      <c r="Q8" s="7"/>
      <c r="R8" s="8"/>
      <c r="S8" s="7"/>
      <c r="T8" s="6">
        <v>0</v>
      </c>
      <c r="U8" s="7"/>
      <c r="V8" s="6"/>
      <c r="W8" s="7"/>
      <c r="X8" s="8"/>
      <c r="Y8" s="7"/>
      <c r="Z8" s="6">
        <f t="shared" si="0"/>
        <v>49188.44</v>
      </c>
      <c r="AA8" s="7"/>
      <c r="AB8" s="6">
        <f t="shared" si="1"/>
        <v>50000</v>
      </c>
      <c r="AC8" s="7"/>
      <c r="AD8" s="8">
        <f t="shared" si="2"/>
        <v>0.98377000000000003</v>
      </c>
    </row>
    <row r="9" spans="1:30" outlineLevel="2" x14ac:dyDescent="0.35">
      <c r="A9" s="2"/>
      <c r="B9" s="2"/>
      <c r="C9" s="2"/>
      <c r="D9" s="2"/>
      <c r="E9" s="2"/>
      <c r="F9" s="2" t="s">
        <v>13</v>
      </c>
      <c r="G9" s="2"/>
      <c r="H9" s="6">
        <v>235.14</v>
      </c>
      <c r="I9" s="7"/>
      <c r="J9" s="6">
        <v>0</v>
      </c>
      <c r="K9" s="7"/>
      <c r="L9" s="8">
        <f>ROUND(IF(J9=0, IF(H9=0, 0, 1), H9/J9),5)</f>
        <v>1</v>
      </c>
      <c r="M9" s="7"/>
      <c r="N9" s="6">
        <v>0</v>
      </c>
      <c r="O9" s="7"/>
      <c r="P9" s="6"/>
      <c r="Q9" s="7"/>
      <c r="R9" s="8"/>
      <c r="S9" s="7"/>
      <c r="T9" s="6">
        <v>36.799999999999997</v>
      </c>
      <c r="U9" s="7"/>
      <c r="V9" s="6">
        <v>0</v>
      </c>
      <c r="W9" s="7"/>
      <c r="X9" s="8">
        <f>ROUND(IF(V9=0, IF(T9=0, 0, 1), T9/V9),5)</f>
        <v>1</v>
      </c>
      <c r="Y9" s="7"/>
      <c r="Z9" s="6">
        <f t="shared" si="0"/>
        <v>271.94</v>
      </c>
      <c r="AA9" s="7"/>
      <c r="AB9" s="6">
        <f t="shared" si="1"/>
        <v>0</v>
      </c>
      <c r="AC9" s="7"/>
      <c r="AD9" s="8">
        <f t="shared" si="2"/>
        <v>1</v>
      </c>
    </row>
    <row r="10" spans="1:30" ht="15" outlineLevel="2" thickBot="1" x14ac:dyDescent="0.4">
      <c r="A10" s="2"/>
      <c r="B10" s="2"/>
      <c r="C10" s="2"/>
      <c r="D10" s="2"/>
      <c r="E10" s="2"/>
      <c r="F10" s="2" t="s">
        <v>14</v>
      </c>
      <c r="G10" s="2"/>
      <c r="H10" s="9">
        <v>0</v>
      </c>
      <c r="I10" s="7"/>
      <c r="J10" s="9"/>
      <c r="K10" s="7"/>
      <c r="L10" s="10"/>
      <c r="M10" s="7"/>
      <c r="N10" s="9">
        <v>0</v>
      </c>
      <c r="O10" s="7"/>
      <c r="P10" s="6"/>
      <c r="Q10" s="7"/>
      <c r="R10" s="8"/>
      <c r="S10" s="7"/>
      <c r="T10" s="9">
        <v>86.86</v>
      </c>
      <c r="U10" s="7"/>
      <c r="V10" s="9">
        <v>0</v>
      </c>
      <c r="W10" s="7"/>
      <c r="X10" s="10">
        <f>ROUND(IF(V10=0, IF(T10=0, 0, 1), T10/V10),5)</f>
        <v>1</v>
      </c>
      <c r="Y10" s="7"/>
      <c r="Z10" s="9">
        <f t="shared" si="0"/>
        <v>86.86</v>
      </c>
      <c r="AA10" s="7"/>
      <c r="AB10" s="9">
        <f t="shared" si="1"/>
        <v>0</v>
      </c>
      <c r="AC10" s="7"/>
      <c r="AD10" s="10">
        <f t="shared" si="2"/>
        <v>1</v>
      </c>
    </row>
    <row r="11" spans="1:30" outlineLevel="1" x14ac:dyDescent="0.35">
      <c r="A11" s="2"/>
      <c r="B11" s="2"/>
      <c r="C11" s="2"/>
      <c r="D11" s="2"/>
      <c r="E11" s="2" t="s">
        <v>15</v>
      </c>
      <c r="F11" s="2"/>
      <c r="G11" s="2"/>
      <c r="H11" s="6">
        <f>ROUND(SUM(H5:H10),5)</f>
        <v>212269.54</v>
      </c>
      <c r="I11" s="7"/>
      <c r="J11" s="6">
        <f>ROUND(SUM(J5:J10),5)</f>
        <v>210000</v>
      </c>
      <c r="K11" s="7"/>
      <c r="L11" s="8">
        <f>ROUND(IF(J11=0, IF(H11=0, 0, 1), H11/J11),5)</f>
        <v>1.01081</v>
      </c>
      <c r="M11" s="7"/>
      <c r="N11" s="6">
        <f>ROUND(SUM(N5:N10),5)</f>
        <v>0</v>
      </c>
      <c r="O11" s="7"/>
      <c r="P11" s="6"/>
      <c r="Q11" s="7"/>
      <c r="R11" s="8"/>
      <c r="S11" s="7"/>
      <c r="T11" s="6">
        <f>ROUND(SUM(T5:T10),5)</f>
        <v>14335.66</v>
      </c>
      <c r="U11" s="7"/>
      <c r="V11" s="6">
        <f>ROUND(SUM(V5:V10),5)</f>
        <v>17400</v>
      </c>
      <c r="W11" s="7"/>
      <c r="X11" s="8">
        <f>ROUND(IF(V11=0, IF(T11=0, 0, 1), T11/V11),5)</f>
        <v>0.82389000000000001</v>
      </c>
      <c r="Y11" s="7"/>
      <c r="Z11" s="6">
        <f t="shared" si="0"/>
        <v>226605.2</v>
      </c>
      <c r="AA11" s="7"/>
      <c r="AB11" s="6">
        <f t="shared" si="1"/>
        <v>227400</v>
      </c>
      <c r="AC11" s="7"/>
      <c r="AD11" s="8">
        <f t="shared" si="2"/>
        <v>0.99650000000000005</v>
      </c>
    </row>
    <row r="12" spans="1:30" outlineLevel="2" x14ac:dyDescent="0.35">
      <c r="A12" s="2"/>
      <c r="B12" s="2"/>
      <c r="C12" s="2"/>
      <c r="D12" s="2"/>
      <c r="E12" s="2" t="s">
        <v>16</v>
      </c>
      <c r="F12" s="2"/>
      <c r="G12" s="2"/>
      <c r="H12" s="6"/>
      <c r="I12" s="7"/>
      <c r="J12" s="6"/>
      <c r="K12" s="7"/>
      <c r="L12" s="8"/>
      <c r="M12" s="7"/>
      <c r="N12" s="6"/>
      <c r="O12" s="7"/>
      <c r="P12" s="6"/>
      <c r="Q12" s="7"/>
      <c r="R12" s="8"/>
      <c r="S12" s="7"/>
      <c r="T12" s="6"/>
      <c r="U12" s="7"/>
      <c r="V12" s="6"/>
      <c r="W12" s="7"/>
      <c r="X12" s="8"/>
      <c r="Y12" s="7"/>
      <c r="Z12" s="6"/>
      <c r="AA12" s="7"/>
      <c r="AB12" s="6"/>
      <c r="AC12" s="7"/>
      <c r="AD12" s="8"/>
    </row>
    <row r="13" spans="1:30" outlineLevel="2" x14ac:dyDescent="0.35">
      <c r="A13" s="2"/>
      <c r="B13" s="2"/>
      <c r="C13" s="2"/>
      <c r="D13" s="2"/>
      <c r="E13" s="2"/>
      <c r="F13" s="2" t="s">
        <v>17</v>
      </c>
      <c r="G13" s="2"/>
      <c r="H13" s="6">
        <v>0</v>
      </c>
      <c r="I13" s="7"/>
      <c r="J13" s="6"/>
      <c r="K13" s="7"/>
      <c r="L13" s="8"/>
      <c r="M13" s="7"/>
      <c r="N13" s="6">
        <v>0</v>
      </c>
      <c r="O13" s="7"/>
      <c r="P13" s="6"/>
      <c r="Q13" s="7"/>
      <c r="R13" s="8"/>
      <c r="S13" s="7"/>
      <c r="T13" s="6">
        <v>144</v>
      </c>
      <c r="U13" s="7"/>
      <c r="V13" s="6">
        <v>144</v>
      </c>
      <c r="W13" s="7"/>
      <c r="X13" s="8">
        <f>ROUND(IF(V13=0, IF(T13=0, 0, 1), T13/V13),5)</f>
        <v>1</v>
      </c>
      <c r="Y13" s="7"/>
      <c r="Z13" s="6">
        <f>ROUND(H13+N13+T13,5)</f>
        <v>144</v>
      </c>
      <c r="AA13" s="7"/>
      <c r="AB13" s="6">
        <f>ROUND(J13+P13+V13,5)</f>
        <v>144</v>
      </c>
      <c r="AC13" s="7"/>
      <c r="AD13" s="8">
        <f>ROUND(IF(AB13=0, IF(Z13=0, 0, 1), Z13/AB13),5)</f>
        <v>1</v>
      </c>
    </row>
    <row r="14" spans="1:30" ht="15" outlineLevel="2" thickBot="1" x14ac:dyDescent="0.4">
      <c r="A14" s="2"/>
      <c r="B14" s="2"/>
      <c r="C14" s="2"/>
      <c r="D14" s="2"/>
      <c r="E14" s="2"/>
      <c r="F14" s="2" t="s">
        <v>18</v>
      </c>
      <c r="G14" s="2"/>
      <c r="H14" s="9">
        <v>0</v>
      </c>
      <c r="I14" s="7"/>
      <c r="J14" s="6"/>
      <c r="K14" s="7"/>
      <c r="L14" s="8"/>
      <c r="M14" s="7"/>
      <c r="N14" s="9">
        <v>0</v>
      </c>
      <c r="O14" s="7"/>
      <c r="P14" s="6"/>
      <c r="Q14" s="7"/>
      <c r="R14" s="8"/>
      <c r="S14" s="7"/>
      <c r="T14" s="9">
        <v>67536</v>
      </c>
      <c r="U14" s="7"/>
      <c r="V14" s="9">
        <v>67536</v>
      </c>
      <c r="W14" s="7"/>
      <c r="X14" s="10">
        <f>ROUND(IF(V14=0, IF(T14=0, 0, 1), T14/V14),5)</f>
        <v>1</v>
      </c>
      <c r="Y14" s="7"/>
      <c r="Z14" s="9">
        <f>ROUND(H14+N14+T14,5)</f>
        <v>67536</v>
      </c>
      <c r="AA14" s="7"/>
      <c r="AB14" s="9">
        <f>ROUND(J14+P14+V14,5)</f>
        <v>67536</v>
      </c>
      <c r="AC14" s="7"/>
      <c r="AD14" s="10">
        <f>ROUND(IF(AB14=0, IF(Z14=0, 0, 1), Z14/AB14),5)</f>
        <v>1</v>
      </c>
    </row>
    <row r="15" spans="1:30" outlineLevel="1" x14ac:dyDescent="0.35">
      <c r="A15" s="2"/>
      <c r="B15" s="2"/>
      <c r="C15" s="2"/>
      <c r="D15" s="2"/>
      <c r="E15" s="2" t="s">
        <v>19</v>
      </c>
      <c r="F15" s="2"/>
      <c r="G15" s="2"/>
      <c r="H15" s="6">
        <f>ROUND(SUM(H12:H14),5)</f>
        <v>0</v>
      </c>
      <c r="I15" s="7"/>
      <c r="J15" s="6"/>
      <c r="K15" s="7"/>
      <c r="L15" s="8"/>
      <c r="M15" s="7"/>
      <c r="N15" s="6">
        <f>ROUND(SUM(N12:N14),5)</f>
        <v>0</v>
      </c>
      <c r="O15" s="7"/>
      <c r="P15" s="6"/>
      <c r="Q15" s="7"/>
      <c r="R15" s="8"/>
      <c r="S15" s="7"/>
      <c r="T15" s="6">
        <f>ROUND(SUM(T12:T14),5)</f>
        <v>67680</v>
      </c>
      <c r="U15" s="7"/>
      <c r="V15" s="6">
        <f>ROUND(SUM(V12:V14),5)</f>
        <v>67680</v>
      </c>
      <c r="W15" s="7"/>
      <c r="X15" s="8">
        <f>ROUND(IF(V15=0, IF(T15=0, 0, 1), T15/V15),5)</f>
        <v>1</v>
      </c>
      <c r="Y15" s="7"/>
      <c r="Z15" s="6">
        <f>ROUND(H15+N15+T15,5)</f>
        <v>67680</v>
      </c>
      <c r="AA15" s="7"/>
      <c r="AB15" s="6">
        <f>ROUND(J15+P15+V15,5)</f>
        <v>67680</v>
      </c>
      <c r="AC15" s="7"/>
      <c r="AD15" s="8">
        <f>ROUND(IF(AB15=0, IF(Z15=0, 0, 1), Z15/AB15),5)</f>
        <v>1</v>
      </c>
    </row>
    <row r="16" spans="1:30" outlineLevel="2" x14ac:dyDescent="0.35">
      <c r="A16" s="2"/>
      <c r="B16" s="2"/>
      <c r="C16" s="2"/>
      <c r="D16" s="2"/>
      <c r="E16" s="2" t="s">
        <v>20</v>
      </c>
      <c r="F16" s="2"/>
      <c r="G16" s="2"/>
      <c r="H16" s="6"/>
      <c r="I16" s="7"/>
      <c r="J16" s="6"/>
      <c r="K16" s="7"/>
      <c r="L16" s="8"/>
      <c r="M16" s="7"/>
      <c r="N16" s="6"/>
      <c r="O16" s="7"/>
      <c r="P16" s="6"/>
      <c r="Q16" s="7"/>
      <c r="R16" s="8"/>
      <c r="S16" s="7"/>
      <c r="T16" s="6"/>
      <c r="U16" s="7"/>
      <c r="V16" s="6"/>
      <c r="W16" s="7"/>
      <c r="X16" s="8"/>
      <c r="Y16" s="7"/>
      <c r="Z16" s="6"/>
      <c r="AA16" s="7"/>
      <c r="AB16" s="6"/>
      <c r="AC16" s="7"/>
      <c r="AD16" s="8"/>
    </row>
    <row r="17" spans="1:30" outlineLevel="2" x14ac:dyDescent="0.35">
      <c r="A17" s="2"/>
      <c r="B17" s="2"/>
      <c r="C17" s="2"/>
      <c r="D17" s="2"/>
      <c r="E17" s="2"/>
      <c r="F17" s="2" t="s">
        <v>21</v>
      </c>
      <c r="G17" s="2"/>
      <c r="H17" s="6">
        <v>0</v>
      </c>
      <c r="I17" s="7"/>
      <c r="J17" s="6"/>
      <c r="K17" s="7"/>
      <c r="L17" s="8"/>
      <c r="M17" s="7"/>
      <c r="N17" s="6">
        <v>0</v>
      </c>
      <c r="O17" s="7"/>
      <c r="P17" s="6"/>
      <c r="Q17" s="7"/>
      <c r="R17" s="8"/>
      <c r="S17" s="7"/>
      <c r="T17" s="6">
        <v>288</v>
      </c>
      <c r="U17" s="7"/>
      <c r="V17" s="6"/>
      <c r="W17" s="7"/>
      <c r="X17" s="8"/>
      <c r="Y17" s="7"/>
      <c r="Z17" s="6">
        <f>ROUND(H17+N17+T17,5)</f>
        <v>288</v>
      </c>
      <c r="AA17" s="7"/>
      <c r="AB17" s="6">
        <f>ROUND(J17+P17+V17,5)</f>
        <v>0</v>
      </c>
      <c r="AC17" s="7"/>
      <c r="AD17" s="8">
        <f>ROUND(IF(AB17=0, IF(Z17=0, 0, 1), Z17/AB17),5)</f>
        <v>1</v>
      </c>
    </row>
    <row r="18" spans="1:30" outlineLevel="2" x14ac:dyDescent="0.35">
      <c r="A18" s="2"/>
      <c r="B18" s="2"/>
      <c r="C18" s="2"/>
      <c r="D18" s="2"/>
      <c r="E18" s="2"/>
      <c r="F18" s="2" t="s">
        <v>22</v>
      </c>
      <c r="G18" s="2"/>
      <c r="H18" s="6">
        <v>0</v>
      </c>
      <c r="I18" s="7"/>
      <c r="J18" s="6"/>
      <c r="K18" s="7"/>
      <c r="L18" s="8"/>
      <c r="M18" s="7"/>
      <c r="N18" s="6">
        <v>0</v>
      </c>
      <c r="O18" s="7"/>
      <c r="P18" s="6"/>
      <c r="Q18" s="7"/>
      <c r="R18" s="8"/>
      <c r="S18" s="7"/>
      <c r="T18" s="6">
        <v>5119.41</v>
      </c>
      <c r="U18" s="7"/>
      <c r="V18" s="6"/>
      <c r="W18" s="7"/>
      <c r="X18" s="8"/>
      <c r="Y18" s="7"/>
      <c r="Z18" s="6">
        <f>ROUND(H18+N18+T18,5)</f>
        <v>5119.41</v>
      </c>
      <c r="AA18" s="7"/>
      <c r="AB18" s="6">
        <f>ROUND(J18+P18+V18,5)</f>
        <v>0</v>
      </c>
      <c r="AC18" s="7"/>
      <c r="AD18" s="8">
        <f>ROUND(IF(AB18=0, IF(Z18=0, 0, 1), Z18/AB18),5)</f>
        <v>1</v>
      </c>
    </row>
    <row r="19" spans="1:30" ht="15" outlineLevel="2" thickBot="1" x14ac:dyDescent="0.4">
      <c r="A19" s="2"/>
      <c r="B19" s="2"/>
      <c r="C19" s="2"/>
      <c r="D19" s="2"/>
      <c r="E19" s="2"/>
      <c r="F19" s="2" t="s">
        <v>23</v>
      </c>
      <c r="G19" s="2"/>
      <c r="H19" s="9">
        <v>0</v>
      </c>
      <c r="I19" s="7"/>
      <c r="J19" s="9">
        <v>0</v>
      </c>
      <c r="K19" s="7"/>
      <c r="L19" s="10">
        <f>ROUND(IF(J19=0, IF(H19=0, 0, 1), H19/J19),5)</f>
        <v>0</v>
      </c>
      <c r="M19" s="7"/>
      <c r="N19" s="9">
        <v>0</v>
      </c>
      <c r="O19" s="7"/>
      <c r="P19" s="6"/>
      <c r="Q19" s="7"/>
      <c r="R19" s="8"/>
      <c r="S19" s="7"/>
      <c r="T19" s="9">
        <v>50</v>
      </c>
      <c r="U19" s="7"/>
      <c r="V19" s="6"/>
      <c r="W19" s="7"/>
      <c r="X19" s="8"/>
      <c r="Y19" s="7"/>
      <c r="Z19" s="9">
        <f>ROUND(H19+N19+T19,5)</f>
        <v>50</v>
      </c>
      <c r="AA19" s="7"/>
      <c r="AB19" s="9">
        <f>ROUND(J19+P19+V19,5)</f>
        <v>0</v>
      </c>
      <c r="AC19" s="7"/>
      <c r="AD19" s="10">
        <f>ROUND(IF(AB19=0, IF(Z19=0, 0, 1), Z19/AB19),5)</f>
        <v>1</v>
      </c>
    </row>
    <row r="20" spans="1:30" outlineLevel="1" x14ac:dyDescent="0.35">
      <c r="A20" s="2"/>
      <c r="B20" s="2"/>
      <c r="C20" s="2"/>
      <c r="D20" s="2"/>
      <c r="E20" s="2" t="s">
        <v>24</v>
      </c>
      <c r="F20" s="2"/>
      <c r="G20" s="2"/>
      <c r="H20" s="6">
        <f>ROUND(SUM(H16:H19),5)</f>
        <v>0</v>
      </c>
      <c r="I20" s="7"/>
      <c r="J20" s="6">
        <f>ROUND(SUM(J16:J19),5)</f>
        <v>0</v>
      </c>
      <c r="K20" s="7"/>
      <c r="L20" s="8">
        <f>ROUND(IF(J20=0, IF(H20=0, 0, 1), H20/J20),5)</f>
        <v>0</v>
      </c>
      <c r="M20" s="7"/>
      <c r="N20" s="6">
        <f>ROUND(SUM(N16:N19),5)</f>
        <v>0</v>
      </c>
      <c r="O20" s="7"/>
      <c r="P20" s="6"/>
      <c r="Q20" s="7"/>
      <c r="R20" s="8"/>
      <c r="S20" s="7"/>
      <c r="T20" s="6">
        <f>ROUND(SUM(T16:T19),5)</f>
        <v>5457.41</v>
      </c>
      <c r="U20" s="7"/>
      <c r="V20" s="6"/>
      <c r="W20" s="7"/>
      <c r="X20" s="8"/>
      <c r="Y20" s="7"/>
      <c r="Z20" s="6">
        <f>ROUND(H20+N20+T20,5)</f>
        <v>5457.41</v>
      </c>
      <c r="AA20" s="7"/>
      <c r="AB20" s="6">
        <f>ROUND(J20+P20+V20,5)</f>
        <v>0</v>
      </c>
      <c r="AC20" s="7"/>
      <c r="AD20" s="8">
        <f>ROUND(IF(AB20=0, IF(Z20=0, 0, 1), Z20/AB20),5)</f>
        <v>1</v>
      </c>
    </row>
    <row r="21" spans="1:30" outlineLevel="1" x14ac:dyDescent="0.35">
      <c r="A21" s="2"/>
      <c r="B21" s="2"/>
      <c r="C21" s="2"/>
      <c r="D21" s="2"/>
      <c r="E21" s="2" t="s">
        <v>25</v>
      </c>
      <c r="F21" s="2"/>
      <c r="G21" s="2"/>
      <c r="H21" s="6">
        <v>10714.03</v>
      </c>
      <c r="I21" s="7"/>
      <c r="J21" s="6">
        <v>10800</v>
      </c>
      <c r="K21" s="7"/>
      <c r="L21" s="8">
        <f>ROUND(IF(J21=0, IF(H21=0, 0, 1), H21/J21),5)</f>
        <v>0.99204000000000003</v>
      </c>
      <c r="M21" s="7"/>
      <c r="N21" s="6">
        <v>0</v>
      </c>
      <c r="O21" s="7"/>
      <c r="P21" s="6"/>
      <c r="Q21" s="7"/>
      <c r="R21" s="8"/>
      <c r="S21" s="7"/>
      <c r="T21" s="6">
        <v>0</v>
      </c>
      <c r="U21" s="7"/>
      <c r="V21" s="6"/>
      <c r="W21" s="7"/>
      <c r="X21" s="8"/>
      <c r="Y21" s="7"/>
      <c r="Z21" s="6">
        <f>ROUND(H21+N21+T21,5)</f>
        <v>10714.03</v>
      </c>
      <c r="AA21" s="7"/>
      <c r="AB21" s="6">
        <f>ROUND(J21+P21+V21,5)</f>
        <v>10800</v>
      </c>
      <c r="AC21" s="7"/>
      <c r="AD21" s="8">
        <f>ROUND(IF(AB21=0, IF(Z21=0, 0, 1), Z21/AB21),5)</f>
        <v>0.99204000000000003</v>
      </c>
    </row>
    <row r="22" spans="1:30" outlineLevel="2" x14ac:dyDescent="0.35">
      <c r="A22" s="2"/>
      <c r="B22" s="2"/>
      <c r="C22" s="2"/>
      <c r="D22" s="2"/>
      <c r="E22" s="2" t="s">
        <v>26</v>
      </c>
      <c r="F22" s="2"/>
      <c r="G22" s="2"/>
      <c r="H22" s="6"/>
      <c r="I22" s="7"/>
      <c r="J22" s="6"/>
      <c r="K22" s="7"/>
      <c r="L22" s="8"/>
      <c r="M22" s="7"/>
      <c r="N22" s="6"/>
      <c r="O22" s="7"/>
      <c r="P22" s="6"/>
      <c r="Q22" s="7"/>
      <c r="R22" s="8"/>
      <c r="S22" s="7"/>
      <c r="T22" s="6"/>
      <c r="U22" s="7"/>
      <c r="V22" s="6"/>
      <c r="W22" s="7"/>
      <c r="X22" s="8"/>
      <c r="Y22" s="7"/>
      <c r="Z22" s="6"/>
      <c r="AA22" s="7"/>
      <c r="AB22" s="6"/>
      <c r="AC22" s="7"/>
      <c r="AD22" s="8"/>
    </row>
    <row r="23" spans="1:30" outlineLevel="2" x14ac:dyDescent="0.35">
      <c r="A23" s="2"/>
      <c r="B23" s="2"/>
      <c r="C23" s="2"/>
      <c r="D23" s="2"/>
      <c r="E23" s="2"/>
      <c r="F23" s="2" t="s">
        <v>27</v>
      </c>
      <c r="G23" s="2"/>
      <c r="H23" s="6">
        <v>317.25</v>
      </c>
      <c r="I23" s="7"/>
      <c r="J23" s="6">
        <v>0</v>
      </c>
      <c r="K23" s="7"/>
      <c r="L23" s="8">
        <f>ROUND(IF(J23=0, IF(H23=0, 0, 1), H23/J23),5)</f>
        <v>1</v>
      </c>
      <c r="M23" s="7"/>
      <c r="N23" s="6">
        <v>0</v>
      </c>
      <c r="O23" s="7"/>
      <c r="P23" s="6"/>
      <c r="Q23" s="7"/>
      <c r="R23" s="8"/>
      <c r="S23" s="7"/>
      <c r="T23" s="6">
        <v>0</v>
      </c>
      <c r="U23" s="7"/>
      <c r="V23" s="6"/>
      <c r="W23" s="7"/>
      <c r="X23" s="8"/>
      <c r="Y23" s="7"/>
      <c r="Z23" s="6">
        <f t="shared" ref="Z23:Z29" si="3">ROUND(H23+N23+T23,5)</f>
        <v>317.25</v>
      </c>
      <c r="AA23" s="7"/>
      <c r="AB23" s="6">
        <f t="shared" ref="AB23:AB29" si="4">ROUND(J23+P23+V23,5)</f>
        <v>0</v>
      </c>
      <c r="AC23" s="7"/>
      <c r="AD23" s="8">
        <f t="shared" ref="AD23:AD29" si="5">ROUND(IF(AB23=0, IF(Z23=0, 0, 1), Z23/AB23),5)</f>
        <v>1</v>
      </c>
    </row>
    <row r="24" spans="1:30" outlineLevel="2" x14ac:dyDescent="0.35">
      <c r="A24" s="2"/>
      <c r="B24" s="2"/>
      <c r="C24" s="2"/>
      <c r="D24" s="2"/>
      <c r="E24" s="2"/>
      <c r="F24" s="2" t="s">
        <v>28</v>
      </c>
      <c r="G24" s="2"/>
      <c r="H24" s="6">
        <v>246</v>
      </c>
      <c r="I24" s="7"/>
      <c r="J24" s="6">
        <v>0</v>
      </c>
      <c r="K24" s="7"/>
      <c r="L24" s="8">
        <f>ROUND(IF(J24=0, IF(H24=0, 0, 1), H24/J24),5)</f>
        <v>1</v>
      </c>
      <c r="M24" s="7"/>
      <c r="N24" s="6">
        <v>0</v>
      </c>
      <c r="O24" s="7"/>
      <c r="P24" s="6"/>
      <c r="Q24" s="7"/>
      <c r="R24" s="8"/>
      <c r="S24" s="7"/>
      <c r="T24" s="6">
        <v>0</v>
      </c>
      <c r="U24" s="7"/>
      <c r="V24" s="6"/>
      <c r="W24" s="7"/>
      <c r="X24" s="8"/>
      <c r="Y24" s="7"/>
      <c r="Z24" s="6">
        <f t="shared" si="3"/>
        <v>246</v>
      </c>
      <c r="AA24" s="7"/>
      <c r="AB24" s="6">
        <f t="shared" si="4"/>
        <v>0</v>
      </c>
      <c r="AC24" s="7"/>
      <c r="AD24" s="8">
        <f t="shared" si="5"/>
        <v>1</v>
      </c>
    </row>
    <row r="25" spans="1:30" ht="15" outlineLevel="2" thickBot="1" x14ac:dyDescent="0.4">
      <c r="A25" s="2"/>
      <c r="B25" s="2"/>
      <c r="C25" s="2"/>
      <c r="D25" s="2"/>
      <c r="E25" s="2"/>
      <c r="F25" s="2" t="s">
        <v>90</v>
      </c>
      <c r="G25" s="2"/>
      <c r="H25" s="9">
        <v>0</v>
      </c>
      <c r="I25" s="7"/>
      <c r="J25" s="9">
        <v>300</v>
      </c>
      <c r="K25" s="7"/>
      <c r="L25" s="10">
        <f>ROUND(IF(J25=0, IF(H25=0, 0, 1), H25/J25),5)</f>
        <v>0</v>
      </c>
      <c r="M25" s="7"/>
      <c r="N25" s="9">
        <v>0</v>
      </c>
      <c r="O25" s="7"/>
      <c r="P25" s="6"/>
      <c r="Q25" s="7"/>
      <c r="R25" s="8"/>
      <c r="S25" s="7"/>
      <c r="T25" s="9">
        <v>0</v>
      </c>
      <c r="U25" s="7"/>
      <c r="V25" s="9">
        <v>0</v>
      </c>
      <c r="W25" s="7"/>
      <c r="X25" s="10">
        <f>ROUND(IF(V25=0, IF(T25=0, 0, 1), T25/V25),5)</f>
        <v>0</v>
      </c>
      <c r="Y25" s="7"/>
      <c r="Z25" s="9">
        <f t="shared" si="3"/>
        <v>0</v>
      </c>
      <c r="AA25" s="7"/>
      <c r="AB25" s="9">
        <f t="shared" si="4"/>
        <v>300</v>
      </c>
      <c r="AC25" s="7"/>
      <c r="AD25" s="10">
        <f t="shared" si="5"/>
        <v>0</v>
      </c>
    </row>
    <row r="26" spans="1:30" outlineLevel="1" x14ac:dyDescent="0.35">
      <c r="A26" s="2"/>
      <c r="B26" s="2"/>
      <c r="C26" s="2"/>
      <c r="D26" s="2"/>
      <c r="E26" s="2" t="s">
        <v>29</v>
      </c>
      <c r="F26" s="2"/>
      <c r="G26" s="2"/>
      <c r="H26" s="6">
        <f>ROUND(SUM(H22:H25),5)</f>
        <v>563.25</v>
      </c>
      <c r="I26" s="7"/>
      <c r="J26" s="6">
        <f>ROUND(SUM(J22:J25),5)</f>
        <v>300</v>
      </c>
      <c r="K26" s="7"/>
      <c r="L26" s="8">
        <f>ROUND(IF(J26=0, IF(H26=0, 0, 1), H26/J26),5)</f>
        <v>1.8774999999999999</v>
      </c>
      <c r="M26" s="7"/>
      <c r="N26" s="6">
        <f>ROUND(SUM(N22:N25),5)</f>
        <v>0</v>
      </c>
      <c r="O26" s="7"/>
      <c r="P26" s="6"/>
      <c r="Q26" s="7"/>
      <c r="R26" s="8"/>
      <c r="S26" s="7"/>
      <c r="T26" s="6">
        <f>ROUND(SUM(T22:T25),5)</f>
        <v>0</v>
      </c>
      <c r="U26" s="7"/>
      <c r="V26" s="6">
        <f>ROUND(SUM(V22:V25),5)</f>
        <v>0</v>
      </c>
      <c r="W26" s="7"/>
      <c r="X26" s="8">
        <f>ROUND(IF(V26=0, IF(T26=0, 0, 1), T26/V26),5)</f>
        <v>0</v>
      </c>
      <c r="Y26" s="7"/>
      <c r="Z26" s="6">
        <f t="shared" si="3"/>
        <v>563.25</v>
      </c>
      <c r="AA26" s="7"/>
      <c r="AB26" s="6">
        <f t="shared" si="4"/>
        <v>300</v>
      </c>
      <c r="AC26" s="7"/>
      <c r="AD26" s="8">
        <f t="shared" si="5"/>
        <v>1.8774999999999999</v>
      </c>
    </row>
    <row r="27" spans="1:30" ht="15" outlineLevel="1" thickBot="1" x14ac:dyDescent="0.4">
      <c r="A27" s="2"/>
      <c r="B27" s="2"/>
      <c r="C27" s="2"/>
      <c r="D27" s="2"/>
      <c r="E27" s="2" t="s">
        <v>30</v>
      </c>
      <c r="F27" s="2"/>
      <c r="G27" s="2"/>
      <c r="H27" s="6">
        <v>0</v>
      </c>
      <c r="I27" s="7"/>
      <c r="J27" s="6"/>
      <c r="K27" s="7"/>
      <c r="L27" s="8"/>
      <c r="M27" s="7"/>
      <c r="N27" s="6">
        <v>0</v>
      </c>
      <c r="O27" s="7"/>
      <c r="P27" s="6"/>
      <c r="Q27" s="7"/>
      <c r="R27" s="8"/>
      <c r="S27" s="7"/>
      <c r="T27" s="6">
        <v>587.65</v>
      </c>
      <c r="U27" s="7"/>
      <c r="V27" s="6"/>
      <c r="W27" s="7"/>
      <c r="X27" s="8"/>
      <c r="Y27" s="7"/>
      <c r="Z27" s="6">
        <f t="shared" si="3"/>
        <v>587.65</v>
      </c>
      <c r="AA27" s="7"/>
      <c r="AB27" s="6">
        <f t="shared" si="4"/>
        <v>0</v>
      </c>
      <c r="AC27" s="7"/>
      <c r="AD27" s="8">
        <f t="shared" si="5"/>
        <v>1</v>
      </c>
    </row>
    <row r="28" spans="1:30" ht="15" thickBot="1" x14ac:dyDescent="0.4">
      <c r="A28" s="2"/>
      <c r="B28" s="2"/>
      <c r="C28" s="2"/>
      <c r="D28" s="2" t="s">
        <v>31</v>
      </c>
      <c r="E28" s="2"/>
      <c r="F28" s="2"/>
      <c r="G28" s="2"/>
      <c r="H28" s="11">
        <f>ROUND(H4+H11+H15+SUM(H20:H21)+SUM(H26:H27),5)</f>
        <v>223546.82</v>
      </c>
      <c r="I28" s="7"/>
      <c r="J28" s="11">
        <f>ROUND(J4+J11+J15+SUM(J20:J21)+SUM(J26:J27),5)</f>
        <v>221100</v>
      </c>
      <c r="K28" s="7"/>
      <c r="L28" s="12">
        <f>ROUND(IF(J28=0, IF(H28=0, 0, 1), H28/J28),5)</f>
        <v>1.0110699999999999</v>
      </c>
      <c r="M28" s="7"/>
      <c r="N28" s="11">
        <f>ROUND(N4+N11+N15+SUM(N20:N21)+SUM(N26:N27),5)</f>
        <v>0</v>
      </c>
      <c r="O28" s="7"/>
      <c r="P28" s="11">
        <f>ROUND(P4+P11+P15+SUM(P20:P21)+SUM(P26:P27),5)</f>
        <v>0</v>
      </c>
      <c r="Q28" s="7"/>
      <c r="R28" s="12">
        <f>ROUND(IF(P28=0, IF(N28=0, 0, 1), N28/P28),5)</f>
        <v>0</v>
      </c>
      <c r="S28" s="7"/>
      <c r="T28" s="11">
        <f>ROUND(T4+T11+T15+SUM(T20:T21)+SUM(T26:T27),5)</f>
        <v>88060.72</v>
      </c>
      <c r="U28" s="7"/>
      <c r="V28" s="11">
        <f>ROUND(V4+V11+V15+SUM(V20:V21)+SUM(V26:V27),5)</f>
        <v>85080</v>
      </c>
      <c r="W28" s="7"/>
      <c r="X28" s="12">
        <f>ROUND(IF(V28=0, IF(T28=0, 0, 1), T28/V28),5)</f>
        <v>1.0350299999999999</v>
      </c>
      <c r="Y28" s="7"/>
      <c r="Z28" s="11">
        <f t="shared" si="3"/>
        <v>311607.53999999998</v>
      </c>
      <c r="AA28" s="7"/>
      <c r="AB28" s="11">
        <f t="shared" si="4"/>
        <v>306180</v>
      </c>
      <c r="AC28" s="7"/>
      <c r="AD28" s="12">
        <f t="shared" si="5"/>
        <v>1.01773</v>
      </c>
    </row>
    <row r="29" spans="1:30" x14ac:dyDescent="0.35">
      <c r="A29" s="2"/>
      <c r="B29" s="2"/>
      <c r="C29" s="2" t="s">
        <v>32</v>
      </c>
      <c r="D29" s="2"/>
      <c r="E29" s="2"/>
      <c r="F29" s="2"/>
      <c r="G29" s="2"/>
      <c r="H29" s="6">
        <f>H28</f>
        <v>223546.82</v>
      </c>
      <c r="I29" s="7"/>
      <c r="J29" s="6">
        <f>J28</f>
        <v>221100</v>
      </c>
      <c r="K29" s="7"/>
      <c r="L29" s="8">
        <f>ROUND(IF(J29=0, IF(H29=0, 0, 1), H29/J29),5)</f>
        <v>1.0110699999999999</v>
      </c>
      <c r="M29" s="7"/>
      <c r="N29" s="6">
        <f>N28</f>
        <v>0</v>
      </c>
      <c r="O29" s="7"/>
      <c r="P29" s="6">
        <f>P28</f>
        <v>0</v>
      </c>
      <c r="Q29" s="7"/>
      <c r="R29" s="8">
        <f>ROUND(IF(P29=0, IF(N29=0, 0, 1), N29/P29),5)</f>
        <v>0</v>
      </c>
      <c r="S29" s="7"/>
      <c r="T29" s="6">
        <f>T28</f>
        <v>88060.72</v>
      </c>
      <c r="U29" s="7"/>
      <c r="V29" s="6">
        <f>V28</f>
        <v>85080</v>
      </c>
      <c r="W29" s="7"/>
      <c r="X29" s="8">
        <f>ROUND(IF(V29=0, IF(T29=0, 0, 1), T29/V29),5)</f>
        <v>1.0350299999999999</v>
      </c>
      <c r="Y29" s="7"/>
      <c r="Z29" s="6">
        <f t="shared" si="3"/>
        <v>311607.53999999998</v>
      </c>
      <c r="AA29" s="7"/>
      <c r="AB29" s="6">
        <f t="shared" si="4"/>
        <v>306180</v>
      </c>
      <c r="AC29" s="7"/>
      <c r="AD29" s="8">
        <f t="shared" si="5"/>
        <v>1.01773</v>
      </c>
    </row>
    <row r="30" spans="1:30" outlineLevel="1" x14ac:dyDescent="0.35">
      <c r="A30" s="2"/>
      <c r="B30" s="2"/>
      <c r="C30" s="2"/>
      <c r="D30" s="2" t="s">
        <v>33</v>
      </c>
      <c r="E30" s="2"/>
      <c r="F30" s="2"/>
      <c r="G30" s="2"/>
      <c r="H30" s="6"/>
      <c r="I30" s="7"/>
      <c r="J30" s="6"/>
      <c r="K30" s="7"/>
      <c r="L30" s="8"/>
      <c r="M30" s="7"/>
      <c r="N30" s="6"/>
      <c r="O30" s="7"/>
      <c r="P30" s="6"/>
      <c r="Q30" s="7"/>
      <c r="R30" s="8"/>
      <c r="S30" s="7"/>
      <c r="T30" s="6"/>
      <c r="U30" s="7"/>
      <c r="V30" s="6"/>
      <c r="W30" s="7"/>
      <c r="X30" s="8"/>
      <c r="Y30" s="7"/>
      <c r="Z30" s="6"/>
      <c r="AA30" s="7"/>
      <c r="AB30" s="6"/>
      <c r="AC30" s="7"/>
      <c r="AD30" s="8"/>
    </row>
    <row r="31" spans="1:30" outlineLevel="1" x14ac:dyDescent="0.35">
      <c r="A31" s="2"/>
      <c r="B31" s="2"/>
      <c r="C31" s="2"/>
      <c r="D31" s="2"/>
      <c r="E31" s="2" t="s">
        <v>34</v>
      </c>
      <c r="F31" s="2"/>
      <c r="G31" s="2"/>
      <c r="H31" s="6">
        <v>102506.97</v>
      </c>
      <c r="I31" s="7"/>
      <c r="J31" s="6">
        <v>103000</v>
      </c>
      <c r="K31" s="7"/>
      <c r="L31" s="8">
        <f>ROUND(IF(J31=0, IF(H31=0, 0, 1), H31/J31),5)</f>
        <v>0.99521000000000004</v>
      </c>
      <c r="M31" s="7"/>
      <c r="N31" s="6">
        <v>0</v>
      </c>
      <c r="O31" s="7"/>
      <c r="P31" s="6"/>
      <c r="Q31" s="7"/>
      <c r="R31" s="8"/>
      <c r="S31" s="7"/>
      <c r="T31" s="6">
        <v>0</v>
      </c>
      <c r="U31" s="7"/>
      <c r="V31" s="6"/>
      <c r="W31" s="7"/>
      <c r="X31" s="8"/>
      <c r="Y31" s="7"/>
      <c r="Z31" s="6">
        <f>ROUND(H31+N31+T31,5)</f>
        <v>102506.97</v>
      </c>
      <c r="AA31" s="7"/>
      <c r="AB31" s="6">
        <f>ROUND(J31+P31+V31,5)</f>
        <v>103000</v>
      </c>
      <c r="AC31" s="7"/>
      <c r="AD31" s="8">
        <f>ROUND(IF(AB31=0, IF(Z31=0, 0, 1), Z31/AB31),5)</f>
        <v>0.99521000000000004</v>
      </c>
    </row>
    <row r="32" spans="1:30" outlineLevel="2" x14ac:dyDescent="0.35">
      <c r="A32" s="2"/>
      <c r="B32" s="2"/>
      <c r="C32" s="2"/>
      <c r="D32" s="2"/>
      <c r="E32" s="2" t="s">
        <v>35</v>
      </c>
      <c r="F32" s="2"/>
      <c r="G32" s="2"/>
      <c r="H32" s="6"/>
      <c r="I32" s="7"/>
      <c r="J32" s="6"/>
      <c r="K32" s="7"/>
      <c r="L32" s="8"/>
      <c r="M32" s="7"/>
      <c r="N32" s="6"/>
      <c r="O32" s="7"/>
      <c r="P32" s="6"/>
      <c r="Q32" s="7"/>
      <c r="R32" s="8"/>
      <c r="S32" s="7"/>
      <c r="T32" s="6"/>
      <c r="U32" s="7"/>
      <c r="V32" s="6"/>
      <c r="W32" s="7"/>
      <c r="X32" s="8"/>
      <c r="Y32" s="7"/>
      <c r="Z32" s="6"/>
      <c r="AA32" s="7"/>
      <c r="AB32" s="6"/>
      <c r="AC32" s="7"/>
      <c r="AD32" s="8"/>
    </row>
    <row r="33" spans="1:30" outlineLevel="2" x14ac:dyDescent="0.35">
      <c r="A33" s="2"/>
      <c r="B33" s="2"/>
      <c r="C33" s="2"/>
      <c r="D33" s="2"/>
      <c r="E33" s="2"/>
      <c r="F33" s="2" t="s">
        <v>36</v>
      </c>
      <c r="G33" s="2"/>
      <c r="H33" s="6">
        <v>6939.4</v>
      </c>
      <c r="I33" s="7"/>
      <c r="J33" s="6">
        <v>3000</v>
      </c>
      <c r="K33" s="7"/>
      <c r="L33" s="8">
        <f>ROUND(IF(J33=0, IF(H33=0, 0, 1), H33/J33),5)</f>
        <v>2.3131300000000001</v>
      </c>
      <c r="M33" s="7"/>
      <c r="N33" s="6">
        <v>0</v>
      </c>
      <c r="O33" s="7"/>
      <c r="P33" s="6"/>
      <c r="Q33" s="7"/>
      <c r="R33" s="8"/>
      <c r="S33" s="7"/>
      <c r="T33" s="6">
        <v>0</v>
      </c>
      <c r="U33" s="7"/>
      <c r="V33" s="6"/>
      <c r="W33" s="7"/>
      <c r="X33" s="8"/>
      <c r="Y33" s="7"/>
      <c r="Z33" s="6">
        <f>ROUND(H33+N33+T33,5)</f>
        <v>6939.4</v>
      </c>
      <c r="AA33" s="7"/>
      <c r="AB33" s="6">
        <f>ROUND(J33+P33+V33,5)</f>
        <v>3000</v>
      </c>
      <c r="AC33" s="7"/>
      <c r="AD33" s="8">
        <f>ROUND(IF(AB33=0, IF(Z33=0, 0, 1), Z33/AB33),5)</f>
        <v>2.3131300000000001</v>
      </c>
    </row>
    <row r="34" spans="1:30" outlineLevel="3" x14ac:dyDescent="0.35">
      <c r="A34" s="2"/>
      <c r="B34" s="2"/>
      <c r="C34" s="2"/>
      <c r="D34" s="2"/>
      <c r="E34" s="2"/>
      <c r="F34" s="2" t="s">
        <v>37</v>
      </c>
      <c r="G34" s="2"/>
      <c r="H34" s="6"/>
      <c r="I34" s="7"/>
      <c r="J34" s="6"/>
      <c r="K34" s="7"/>
      <c r="L34" s="8"/>
      <c r="M34" s="7"/>
      <c r="N34" s="6"/>
      <c r="O34" s="7"/>
      <c r="P34" s="6"/>
      <c r="Q34" s="7"/>
      <c r="R34" s="8"/>
      <c r="S34" s="7"/>
      <c r="T34" s="6"/>
      <c r="U34" s="7"/>
      <c r="V34" s="6"/>
      <c r="W34" s="7"/>
      <c r="X34" s="8"/>
      <c r="Y34" s="7"/>
      <c r="Z34" s="6"/>
      <c r="AA34" s="7"/>
      <c r="AB34" s="6"/>
      <c r="AC34" s="7"/>
      <c r="AD34" s="8"/>
    </row>
    <row r="35" spans="1:30" outlineLevel="3" x14ac:dyDescent="0.35">
      <c r="A35" s="2"/>
      <c r="B35" s="2"/>
      <c r="C35" s="2"/>
      <c r="D35" s="2"/>
      <c r="E35" s="2"/>
      <c r="F35" s="2"/>
      <c r="G35" s="2" t="s">
        <v>38</v>
      </c>
      <c r="H35" s="6">
        <v>2095</v>
      </c>
      <c r="I35" s="7"/>
      <c r="J35" s="6">
        <v>0</v>
      </c>
      <c r="K35" s="7"/>
      <c r="L35" s="8">
        <f>ROUND(IF(J35=0, IF(H35=0, 0, 1), H35/J35),5)</f>
        <v>1</v>
      </c>
      <c r="M35" s="7"/>
      <c r="N35" s="6">
        <v>0</v>
      </c>
      <c r="O35" s="7"/>
      <c r="P35" s="6"/>
      <c r="Q35" s="7"/>
      <c r="R35" s="8"/>
      <c r="S35" s="7"/>
      <c r="T35" s="6">
        <v>0</v>
      </c>
      <c r="U35" s="7"/>
      <c r="V35" s="6"/>
      <c r="W35" s="7"/>
      <c r="X35" s="8"/>
      <c r="Y35" s="7"/>
      <c r="Z35" s="6">
        <f>ROUND(H35+N35+T35,5)</f>
        <v>2095</v>
      </c>
      <c r="AA35" s="7"/>
      <c r="AB35" s="6">
        <f>ROUND(J35+P35+V35,5)</f>
        <v>0</v>
      </c>
      <c r="AC35" s="7"/>
      <c r="AD35" s="8">
        <f>ROUND(IF(AB35=0, IF(Z35=0, 0, 1), Z35/AB35),5)</f>
        <v>1</v>
      </c>
    </row>
    <row r="36" spans="1:30" outlineLevel="3" x14ac:dyDescent="0.35">
      <c r="A36" s="2"/>
      <c r="B36" s="2"/>
      <c r="C36" s="2"/>
      <c r="D36" s="2"/>
      <c r="E36" s="2"/>
      <c r="F36" s="2"/>
      <c r="G36" s="2" t="s">
        <v>39</v>
      </c>
      <c r="H36" s="6">
        <v>386.4</v>
      </c>
      <c r="I36" s="7"/>
      <c r="J36" s="6">
        <v>0</v>
      </c>
      <c r="K36" s="7"/>
      <c r="L36" s="8">
        <f>ROUND(IF(J36=0, IF(H36=0, 0, 1), H36/J36),5)</f>
        <v>1</v>
      </c>
      <c r="M36" s="7"/>
      <c r="N36" s="6">
        <v>0</v>
      </c>
      <c r="O36" s="7"/>
      <c r="P36" s="6"/>
      <c r="Q36" s="7"/>
      <c r="R36" s="8"/>
      <c r="S36" s="7"/>
      <c r="T36" s="6">
        <v>2909.98</v>
      </c>
      <c r="U36" s="7"/>
      <c r="V36" s="6"/>
      <c r="W36" s="7"/>
      <c r="X36" s="8"/>
      <c r="Y36" s="7"/>
      <c r="Z36" s="6">
        <f>ROUND(H36+N36+T36,5)</f>
        <v>3296.38</v>
      </c>
      <c r="AA36" s="7"/>
      <c r="AB36" s="6">
        <f>ROUND(J36+P36+V36,5)</f>
        <v>0</v>
      </c>
      <c r="AC36" s="7"/>
      <c r="AD36" s="8">
        <f>ROUND(IF(AB36=0, IF(Z36=0, 0, 1), Z36/AB36),5)</f>
        <v>1</v>
      </c>
    </row>
    <row r="37" spans="1:30" outlineLevel="3" x14ac:dyDescent="0.35">
      <c r="A37" s="2"/>
      <c r="B37" s="2"/>
      <c r="C37" s="2"/>
      <c r="D37" s="2"/>
      <c r="E37" s="2"/>
      <c r="F37" s="2"/>
      <c r="G37" s="2" t="s">
        <v>40</v>
      </c>
      <c r="H37" s="6">
        <v>6.75</v>
      </c>
      <c r="I37" s="7"/>
      <c r="J37" s="6">
        <v>0</v>
      </c>
      <c r="K37" s="7"/>
      <c r="L37" s="8">
        <f>ROUND(IF(J37=0, IF(H37=0, 0, 1), H37/J37),5)</f>
        <v>1</v>
      </c>
      <c r="M37" s="7"/>
      <c r="N37" s="6">
        <v>0</v>
      </c>
      <c r="O37" s="7"/>
      <c r="P37" s="6"/>
      <c r="Q37" s="7"/>
      <c r="R37" s="8"/>
      <c r="S37" s="7"/>
      <c r="T37" s="6">
        <v>5293.55</v>
      </c>
      <c r="U37" s="7"/>
      <c r="V37" s="6">
        <v>0</v>
      </c>
      <c r="W37" s="7"/>
      <c r="X37" s="8">
        <f>ROUND(IF(V37=0, IF(T37=0, 0, 1), T37/V37),5)</f>
        <v>1</v>
      </c>
      <c r="Y37" s="7"/>
      <c r="Z37" s="6">
        <f>ROUND(H37+N37+T37,5)</f>
        <v>5300.3</v>
      </c>
      <c r="AA37" s="7"/>
      <c r="AB37" s="6">
        <f>ROUND(J37+P37+V37,5)</f>
        <v>0</v>
      </c>
      <c r="AC37" s="7"/>
      <c r="AD37" s="8">
        <f>ROUND(IF(AB37=0, IF(Z37=0, 0, 1), Z37/AB37),5)</f>
        <v>1</v>
      </c>
    </row>
    <row r="38" spans="1:30" ht="15" outlineLevel="3" thickBot="1" x14ac:dyDescent="0.4">
      <c r="A38" s="2"/>
      <c r="B38" s="2"/>
      <c r="C38" s="2"/>
      <c r="D38" s="2"/>
      <c r="E38" s="2"/>
      <c r="F38" s="2"/>
      <c r="G38" s="2" t="s">
        <v>91</v>
      </c>
      <c r="H38" s="9">
        <v>0</v>
      </c>
      <c r="I38" s="7"/>
      <c r="J38" s="9">
        <v>3000</v>
      </c>
      <c r="K38" s="7"/>
      <c r="L38" s="10">
        <f>ROUND(IF(J38=0, IF(H38=0, 0, 1), H38/J38),5)</f>
        <v>0</v>
      </c>
      <c r="M38" s="7"/>
      <c r="N38" s="9">
        <v>0</v>
      </c>
      <c r="O38" s="7"/>
      <c r="P38" s="6"/>
      <c r="Q38" s="7"/>
      <c r="R38" s="8"/>
      <c r="S38" s="7"/>
      <c r="T38" s="9">
        <v>0</v>
      </c>
      <c r="U38" s="7"/>
      <c r="V38" s="9"/>
      <c r="W38" s="7"/>
      <c r="X38" s="10"/>
      <c r="Y38" s="7"/>
      <c r="Z38" s="9">
        <f>ROUND(H38+N38+T38,5)</f>
        <v>0</v>
      </c>
      <c r="AA38" s="7"/>
      <c r="AB38" s="9">
        <f>ROUND(J38+P38+V38,5)</f>
        <v>3000</v>
      </c>
      <c r="AC38" s="7"/>
      <c r="AD38" s="10">
        <f>ROUND(IF(AB38=0, IF(Z38=0, 0, 1), Z38/AB38),5)</f>
        <v>0</v>
      </c>
    </row>
    <row r="39" spans="1:30" outlineLevel="2" x14ac:dyDescent="0.35">
      <c r="A39" s="2"/>
      <c r="B39" s="2"/>
      <c r="C39" s="2"/>
      <c r="D39" s="2"/>
      <c r="E39" s="2"/>
      <c r="F39" s="2" t="s">
        <v>41</v>
      </c>
      <c r="G39" s="2"/>
      <c r="H39" s="6">
        <f>ROUND(SUM(H34:H38),5)</f>
        <v>2488.15</v>
      </c>
      <c r="I39" s="7"/>
      <c r="J39" s="6">
        <f>ROUND(SUM(J34:J38),5)</f>
        <v>3000</v>
      </c>
      <c r="K39" s="7"/>
      <c r="L39" s="8">
        <f>ROUND(IF(J39=0, IF(H39=0, 0, 1), H39/J39),5)</f>
        <v>0.82938000000000001</v>
      </c>
      <c r="M39" s="7"/>
      <c r="N39" s="6">
        <f>ROUND(SUM(N34:N38),5)</f>
        <v>0</v>
      </c>
      <c r="O39" s="7"/>
      <c r="P39" s="6"/>
      <c r="Q39" s="7"/>
      <c r="R39" s="8"/>
      <c r="S39" s="7"/>
      <c r="T39" s="6">
        <f>ROUND(SUM(T34:T38),5)</f>
        <v>8203.5300000000007</v>
      </c>
      <c r="U39" s="7"/>
      <c r="V39" s="6">
        <f>ROUND(SUM(V34:V38),5)</f>
        <v>0</v>
      </c>
      <c r="W39" s="7"/>
      <c r="X39" s="8">
        <f>ROUND(IF(V39=0, IF(T39=0, 0, 1), T39/V39),5)</f>
        <v>1</v>
      </c>
      <c r="Y39" s="7"/>
      <c r="Z39" s="6">
        <f>ROUND(H39+N39+T39,5)</f>
        <v>10691.68</v>
      </c>
      <c r="AA39" s="7"/>
      <c r="AB39" s="6">
        <f>ROUND(J39+P39+V39,5)</f>
        <v>3000</v>
      </c>
      <c r="AC39" s="7"/>
      <c r="AD39" s="8">
        <f>ROUND(IF(AB39=0, IF(Z39=0, 0, 1), Z39/AB39),5)</f>
        <v>3.5638899999999998</v>
      </c>
    </row>
    <row r="40" spans="1:30" outlineLevel="3" x14ac:dyDescent="0.35">
      <c r="A40" s="2"/>
      <c r="B40" s="2"/>
      <c r="C40" s="2"/>
      <c r="D40" s="2"/>
      <c r="E40" s="2"/>
      <c r="F40" s="2" t="s">
        <v>42</v>
      </c>
      <c r="G40" s="2"/>
      <c r="H40" s="6"/>
      <c r="I40" s="7"/>
      <c r="J40" s="6"/>
      <c r="K40" s="7"/>
      <c r="L40" s="8"/>
      <c r="M40" s="7"/>
      <c r="N40" s="6"/>
      <c r="O40" s="7"/>
      <c r="P40" s="6"/>
      <c r="Q40" s="7"/>
      <c r="R40" s="8"/>
      <c r="S40" s="7"/>
      <c r="T40" s="6"/>
      <c r="U40" s="7"/>
      <c r="V40" s="6"/>
      <c r="W40" s="7"/>
      <c r="X40" s="8"/>
      <c r="Y40" s="7"/>
      <c r="Z40" s="6"/>
      <c r="AA40" s="7"/>
      <c r="AB40" s="6"/>
      <c r="AC40" s="7"/>
      <c r="AD40" s="8"/>
    </row>
    <row r="41" spans="1:30" outlineLevel="3" x14ac:dyDescent="0.35">
      <c r="A41" s="2"/>
      <c r="B41" s="2"/>
      <c r="C41" s="2"/>
      <c r="D41" s="2"/>
      <c r="E41" s="2"/>
      <c r="F41" s="2"/>
      <c r="G41" s="2" t="s">
        <v>43</v>
      </c>
      <c r="H41" s="6">
        <v>2921.3</v>
      </c>
      <c r="I41" s="7"/>
      <c r="J41" s="6">
        <v>0</v>
      </c>
      <c r="K41" s="7"/>
      <c r="L41" s="8">
        <f t="shared" ref="L41:L47" si="6">ROUND(IF(J41=0, IF(H41=0, 0, 1), H41/J41),5)</f>
        <v>1</v>
      </c>
      <c r="M41" s="7"/>
      <c r="N41" s="6">
        <v>0</v>
      </c>
      <c r="O41" s="7"/>
      <c r="P41" s="6"/>
      <c r="Q41" s="7"/>
      <c r="R41" s="8"/>
      <c r="S41" s="7"/>
      <c r="T41" s="6">
        <v>0</v>
      </c>
      <c r="U41" s="7"/>
      <c r="V41" s="6"/>
      <c r="W41" s="7"/>
      <c r="X41" s="8"/>
      <c r="Y41" s="7"/>
      <c r="Z41" s="6">
        <f t="shared" ref="Z41:Z47" si="7">ROUND(H41+N41+T41,5)</f>
        <v>2921.3</v>
      </c>
      <c r="AA41" s="7"/>
      <c r="AB41" s="6">
        <f t="shared" ref="AB41:AB47" si="8">ROUND(J41+P41+V41,5)</f>
        <v>0</v>
      </c>
      <c r="AC41" s="7"/>
      <c r="AD41" s="8">
        <f t="shared" ref="AD41:AD47" si="9">ROUND(IF(AB41=0, IF(Z41=0, 0, 1), Z41/AB41),5)</f>
        <v>1</v>
      </c>
    </row>
    <row r="42" spans="1:30" outlineLevel="3" x14ac:dyDescent="0.35">
      <c r="A42" s="2"/>
      <c r="B42" s="2"/>
      <c r="C42" s="2"/>
      <c r="D42" s="2"/>
      <c r="E42" s="2"/>
      <c r="F42" s="2"/>
      <c r="G42" s="2" t="s">
        <v>44</v>
      </c>
      <c r="H42" s="6">
        <v>4407.12</v>
      </c>
      <c r="I42" s="7"/>
      <c r="J42" s="6">
        <v>0</v>
      </c>
      <c r="K42" s="7"/>
      <c r="L42" s="8">
        <f t="shared" si="6"/>
        <v>1</v>
      </c>
      <c r="M42" s="7"/>
      <c r="N42" s="6">
        <v>0</v>
      </c>
      <c r="O42" s="7"/>
      <c r="P42" s="6"/>
      <c r="Q42" s="7"/>
      <c r="R42" s="8"/>
      <c r="S42" s="7"/>
      <c r="T42" s="6">
        <v>0</v>
      </c>
      <c r="U42" s="7"/>
      <c r="V42" s="6"/>
      <c r="W42" s="7"/>
      <c r="X42" s="8"/>
      <c r="Y42" s="7"/>
      <c r="Z42" s="6">
        <f t="shared" si="7"/>
        <v>4407.12</v>
      </c>
      <c r="AA42" s="7"/>
      <c r="AB42" s="6">
        <f t="shared" si="8"/>
        <v>0</v>
      </c>
      <c r="AC42" s="7"/>
      <c r="AD42" s="8">
        <f t="shared" si="9"/>
        <v>1</v>
      </c>
    </row>
    <row r="43" spans="1:30" ht="15" outlineLevel="3" thickBot="1" x14ac:dyDescent="0.4">
      <c r="A43" s="2"/>
      <c r="B43" s="2"/>
      <c r="C43" s="2"/>
      <c r="D43" s="2"/>
      <c r="E43" s="2"/>
      <c r="F43" s="2"/>
      <c r="G43" s="2" t="s">
        <v>92</v>
      </c>
      <c r="H43" s="9">
        <v>0</v>
      </c>
      <c r="I43" s="7"/>
      <c r="J43" s="9">
        <v>6000</v>
      </c>
      <c r="K43" s="7"/>
      <c r="L43" s="10">
        <f t="shared" si="6"/>
        <v>0</v>
      </c>
      <c r="M43" s="7"/>
      <c r="N43" s="9">
        <v>0</v>
      </c>
      <c r="O43" s="7"/>
      <c r="P43" s="6"/>
      <c r="Q43" s="7"/>
      <c r="R43" s="8"/>
      <c r="S43" s="7"/>
      <c r="T43" s="9">
        <v>0</v>
      </c>
      <c r="U43" s="7"/>
      <c r="V43" s="6"/>
      <c r="W43" s="7"/>
      <c r="X43" s="8"/>
      <c r="Y43" s="7"/>
      <c r="Z43" s="9">
        <f t="shared" si="7"/>
        <v>0</v>
      </c>
      <c r="AA43" s="7"/>
      <c r="AB43" s="9">
        <f t="shared" si="8"/>
        <v>6000</v>
      </c>
      <c r="AC43" s="7"/>
      <c r="AD43" s="10">
        <f t="shared" si="9"/>
        <v>0</v>
      </c>
    </row>
    <row r="44" spans="1:30" outlineLevel="2" x14ac:dyDescent="0.35">
      <c r="A44" s="2"/>
      <c r="B44" s="2"/>
      <c r="C44" s="2"/>
      <c r="D44" s="2"/>
      <c r="E44" s="2"/>
      <c r="F44" s="2" t="s">
        <v>45</v>
      </c>
      <c r="G44" s="2"/>
      <c r="H44" s="6">
        <f>ROUND(SUM(H40:H43),5)</f>
        <v>7328.42</v>
      </c>
      <c r="I44" s="7"/>
      <c r="J44" s="6">
        <f>ROUND(SUM(J40:J43),5)</f>
        <v>6000</v>
      </c>
      <c r="K44" s="7"/>
      <c r="L44" s="8">
        <f t="shared" si="6"/>
        <v>1.2214</v>
      </c>
      <c r="M44" s="7"/>
      <c r="N44" s="6">
        <f>ROUND(SUM(N40:N43),5)</f>
        <v>0</v>
      </c>
      <c r="O44" s="7"/>
      <c r="P44" s="6"/>
      <c r="Q44" s="7"/>
      <c r="R44" s="8"/>
      <c r="S44" s="7"/>
      <c r="T44" s="6">
        <f>ROUND(SUM(T40:T43),5)</f>
        <v>0</v>
      </c>
      <c r="U44" s="7"/>
      <c r="V44" s="6"/>
      <c r="W44" s="7"/>
      <c r="X44" s="8"/>
      <c r="Y44" s="7"/>
      <c r="Z44" s="6">
        <f t="shared" si="7"/>
        <v>7328.42</v>
      </c>
      <c r="AA44" s="7"/>
      <c r="AB44" s="6">
        <f t="shared" si="8"/>
        <v>6000</v>
      </c>
      <c r="AC44" s="7"/>
      <c r="AD44" s="8">
        <f t="shared" si="9"/>
        <v>1.2214</v>
      </c>
    </row>
    <row r="45" spans="1:30" outlineLevel="2" x14ac:dyDescent="0.35">
      <c r="A45" s="2"/>
      <c r="B45" s="2"/>
      <c r="C45" s="2"/>
      <c r="D45" s="2"/>
      <c r="E45" s="2"/>
      <c r="F45" s="2" t="s">
        <v>46</v>
      </c>
      <c r="G45" s="2"/>
      <c r="H45" s="6">
        <v>10358</v>
      </c>
      <c r="I45" s="7"/>
      <c r="J45" s="6">
        <v>11000</v>
      </c>
      <c r="K45" s="7"/>
      <c r="L45" s="8">
        <f t="shared" si="6"/>
        <v>0.94164000000000003</v>
      </c>
      <c r="M45" s="7"/>
      <c r="N45" s="6">
        <v>0</v>
      </c>
      <c r="O45" s="7"/>
      <c r="P45" s="6"/>
      <c r="Q45" s="7"/>
      <c r="R45" s="8"/>
      <c r="S45" s="7"/>
      <c r="T45" s="6">
        <v>0</v>
      </c>
      <c r="U45" s="7"/>
      <c r="V45" s="6"/>
      <c r="W45" s="7"/>
      <c r="X45" s="8"/>
      <c r="Y45" s="7"/>
      <c r="Z45" s="6">
        <f t="shared" si="7"/>
        <v>10358</v>
      </c>
      <c r="AA45" s="7"/>
      <c r="AB45" s="6">
        <f t="shared" si="8"/>
        <v>11000</v>
      </c>
      <c r="AC45" s="7"/>
      <c r="AD45" s="8">
        <f t="shared" si="9"/>
        <v>0.94164000000000003</v>
      </c>
    </row>
    <row r="46" spans="1:30" outlineLevel="2" x14ac:dyDescent="0.35">
      <c r="A46" s="2"/>
      <c r="B46" s="2"/>
      <c r="C46" s="2"/>
      <c r="D46" s="2"/>
      <c r="E46" s="2"/>
      <c r="F46" s="2" t="s">
        <v>47</v>
      </c>
      <c r="G46" s="2"/>
      <c r="H46" s="6">
        <v>1371.46</v>
      </c>
      <c r="I46" s="7"/>
      <c r="J46" s="6">
        <v>1500</v>
      </c>
      <c r="K46" s="7"/>
      <c r="L46" s="8">
        <f t="shared" si="6"/>
        <v>0.91430999999999996</v>
      </c>
      <c r="M46" s="7"/>
      <c r="N46" s="6">
        <v>0</v>
      </c>
      <c r="O46" s="7"/>
      <c r="P46" s="6"/>
      <c r="Q46" s="7"/>
      <c r="R46" s="8"/>
      <c r="S46" s="7"/>
      <c r="T46" s="6">
        <v>0</v>
      </c>
      <c r="U46" s="7"/>
      <c r="V46" s="6"/>
      <c r="W46" s="7"/>
      <c r="X46" s="8"/>
      <c r="Y46" s="7"/>
      <c r="Z46" s="6">
        <f t="shared" si="7"/>
        <v>1371.46</v>
      </c>
      <c r="AA46" s="7"/>
      <c r="AB46" s="6">
        <f t="shared" si="8"/>
        <v>1500</v>
      </c>
      <c r="AC46" s="7"/>
      <c r="AD46" s="8">
        <f t="shared" si="9"/>
        <v>0.91430999999999996</v>
      </c>
    </row>
    <row r="47" spans="1:30" outlineLevel="2" x14ac:dyDescent="0.35">
      <c r="A47" s="2"/>
      <c r="B47" s="2"/>
      <c r="C47" s="2"/>
      <c r="D47" s="2"/>
      <c r="E47" s="2"/>
      <c r="F47" s="2" t="s">
        <v>48</v>
      </c>
      <c r="G47" s="2"/>
      <c r="H47" s="6">
        <v>3590.38</v>
      </c>
      <c r="I47" s="7"/>
      <c r="J47" s="6">
        <v>3500</v>
      </c>
      <c r="K47" s="7"/>
      <c r="L47" s="8">
        <f t="shared" si="6"/>
        <v>1.02582</v>
      </c>
      <c r="M47" s="7"/>
      <c r="N47" s="6">
        <v>0</v>
      </c>
      <c r="O47" s="7"/>
      <c r="P47" s="6"/>
      <c r="Q47" s="7"/>
      <c r="R47" s="8"/>
      <c r="S47" s="7"/>
      <c r="T47" s="6">
        <v>0</v>
      </c>
      <c r="U47" s="7"/>
      <c r="V47" s="6"/>
      <c r="W47" s="7"/>
      <c r="X47" s="8"/>
      <c r="Y47" s="7"/>
      <c r="Z47" s="6">
        <f t="shared" si="7"/>
        <v>3590.38</v>
      </c>
      <c r="AA47" s="7"/>
      <c r="AB47" s="6">
        <f t="shared" si="8"/>
        <v>3500</v>
      </c>
      <c r="AC47" s="7"/>
      <c r="AD47" s="8">
        <f t="shared" si="9"/>
        <v>1.02582</v>
      </c>
    </row>
    <row r="48" spans="1:30" outlineLevel="3" x14ac:dyDescent="0.35">
      <c r="A48" s="2"/>
      <c r="B48" s="2"/>
      <c r="C48" s="2"/>
      <c r="D48" s="2"/>
      <c r="E48" s="2"/>
      <c r="F48" s="2" t="s">
        <v>49</v>
      </c>
      <c r="G48" s="2"/>
      <c r="H48" s="6"/>
      <c r="I48" s="7"/>
      <c r="J48" s="6"/>
      <c r="K48" s="7"/>
      <c r="L48" s="8"/>
      <c r="M48" s="7"/>
      <c r="N48" s="6"/>
      <c r="O48" s="7"/>
      <c r="P48" s="6"/>
      <c r="Q48" s="7"/>
      <c r="R48" s="8"/>
      <c r="S48" s="7"/>
      <c r="T48" s="6"/>
      <c r="U48" s="7"/>
      <c r="V48" s="6"/>
      <c r="W48" s="7"/>
      <c r="X48" s="8"/>
      <c r="Y48" s="7"/>
      <c r="Z48" s="6"/>
      <c r="AA48" s="7"/>
      <c r="AB48" s="6"/>
      <c r="AC48" s="7"/>
      <c r="AD48" s="8"/>
    </row>
    <row r="49" spans="1:30" ht="15" outlineLevel="3" thickBot="1" x14ac:dyDescent="0.4">
      <c r="A49" s="2"/>
      <c r="B49" s="2"/>
      <c r="C49" s="2"/>
      <c r="D49" s="2"/>
      <c r="E49" s="2"/>
      <c r="F49" s="2"/>
      <c r="G49" s="2" t="s">
        <v>50</v>
      </c>
      <c r="H49" s="6">
        <v>1279.57</v>
      </c>
      <c r="I49" s="7"/>
      <c r="J49" s="6">
        <v>250</v>
      </c>
      <c r="K49" s="7"/>
      <c r="L49" s="8">
        <f>ROUND(IF(J49=0, IF(H49=0, 0, 1), H49/J49),5)</f>
        <v>5.1182800000000004</v>
      </c>
      <c r="M49" s="7"/>
      <c r="N49" s="6">
        <v>0</v>
      </c>
      <c r="O49" s="7"/>
      <c r="P49" s="6"/>
      <c r="Q49" s="7"/>
      <c r="R49" s="8"/>
      <c r="S49" s="7"/>
      <c r="T49" s="6">
        <v>0</v>
      </c>
      <c r="U49" s="7"/>
      <c r="V49" s="6"/>
      <c r="W49" s="7"/>
      <c r="X49" s="8"/>
      <c r="Y49" s="7"/>
      <c r="Z49" s="6">
        <f>ROUND(H49+N49+T49,5)</f>
        <v>1279.57</v>
      </c>
      <c r="AA49" s="7"/>
      <c r="AB49" s="6">
        <f>ROUND(J49+P49+V49,5)</f>
        <v>250</v>
      </c>
      <c r="AC49" s="7"/>
      <c r="AD49" s="8">
        <f>ROUND(IF(AB49=0, IF(Z49=0, 0, 1), Z49/AB49),5)</f>
        <v>5.1182800000000004</v>
      </c>
    </row>
    <row r="50" spans="1:30" ht="15" outlineLevel="2" thickBot="1" x14ac:dyDescent="0.4">
      <c r="A50" s="2"/>
      <c r="B50" s="2"/>
      <c r="C50" s="2"/>
      <c r="D50" s="2"/>
      <c r="E50" s="2"/>
      <c r="F50" s="2" t="s">
        <v>52</v>
      </c>
      <c r="G50" s="2"/>
      <c r="H50" s="11">
        <f>ROUND(SUM(H48:H49),5)</f>
        <v>1279.57</v>
      </c>
      <c r="I50" s="7"/>
      <c r="J50" s="11">
        <f>ROUND(SUM(J48:J49),5)</f>
        <v>250</v>
      </c>
      <c r="K50" s="7"/>
      <c r="L50" s="12">
        <f>ROUND(IF(J50=0, IF(H50=0, 0, 1), H50/J50),5)</f>
        <v>5.1182800000000004</v>
      </c>
      <c r="M50" s="7"/>
      <c r="N50" s="11">
        <f>ROUND(SUM(N48:N49),5)</f>
        <v>0</v>
      </c>
      <c r="O50" s="7"/>
      <c r="P50" s="6"/>
      <c r="Q50" s="7"/>
      <c r="R50" s="8"/>
      <c r="S50" s="7"/>
      <c r="T50" s="11">
        <f>ROUND(SUM(T48:T49),5)</f>
        <v>0</v>
      </c>
      <c r="U50" s="7"/>
      <c r="V50" s="9"/>
      <c r="W50" s="7"/>
      <c r="X50" s="10"/>
      <c r="Y50" s="7"/>
      <c r="Z50" s="11">
        <f>ROUND(H50+N50+T50,5)</f>
        <v>1279.57</v>
      </c>
      <c r="AA50" s="7"/>
      <c r="AB50" s="11">
        <f>ROUND(J50+P50+V50,5)</f>
        <v>250</v>
      </c>
      <c r="AC50" s="7"/>
      <c r="AD50" s="12">
        <f>ROUND(IF(AB50=0, IF(Z50=0, 0, 1), Z50/AB50),5)</f>
        <v>5.1182800000000004</v>
      </c>
    </row>
    <row r="51" spans="1:30" outlineLevel="1" x14ac:dyDescent="0.35">
      <c r="A51" s="2"/>
      <c r="B51" s="2"/>
      <c r="C51" s="2"/>
      <c r="D51" s="2"/>
      <c r="E51" s="2" t="s">
        <v>53</v>
      </c>
      <c r="F51" s="2"/>
      <c r="G51" s="2"/>
      <c r="H51" s="6">
        <f>ROUND(SUM(H32:H33)+H39+SUM(H44:H47)+H50,5)</f>
        <v>33355.379999999997</v>
      </c>
      <c r="I51" s="7"/>
      <c r="J51" s="6">
        <f>ROUND(SUM(J32:J33)+J39+SUM(J44:J47)+J50,5)</f>
        <v>28250</v>
      </c>
      <c r="K51" s="7"/>
      <c r="L51" s="8">
        <f>ROUND(IF(J51=0, IF(H51=0, 0, 1), H51/J51),5)</f>
        <v>1.18072</v>
      </c>
      <c r="M51" s="7"/>
      <c r="N51" s="6">
        <f>ROUND(SUM(N32:N33)+N39+SUM(N44:N47)+N50,5)</f>
        <v>0</v>
      </c>
      <c r="O51" s="7"/>
      <c r="P51" s="6"/>
      <c r="Q51" s="7"/>
      <c r="R51" s="8"/>
      <c r="S51" s="7"/>
      <c r="T51" s="6">
        <f>ROUND(SUM(T32:T33)+T39+SUM(T44:T47)+T50,5)</f>
        <v>8203.5300000000007</v>
      </c>
      <c r="U51" s="7"/>
      <c r="V51" s="6">
        <f>ROUND(SUM(V32:V33)+V39+SUM(V44:V47)+V50,5)</f>
        <v>0</v>
      </c>
      <c r="W51" s="7"/>
      <c r="X51" s="8">
        <f>ROUND(IF(V51=0, IF(T51=0, 0, 1), T51/V51),5)</f>
        <v>1</v>
      </c>
      <c r="Y51" s="7"/>
      <c r="Z51" s="6">
        <f>ROUND(H51+N51+T51,5)</f>
        <v>41558.910000000003</v>
      </c>
      <c r="AA51" s="7"/>
      <c r="AB51" s="6">
        <f>ROUND(J51+P51+V51,5)</f>
        <v>28250</v>
      </c>
      <c r="AC51" s="7"/>
      <c r="AD51" s="8">
        <f>ROUND(IF(AB51=0, IF(Z51=0, 0, 1), Z51/AB51),5)</f>
        <v>1.4711099999999999</v>
      </c>
    </row>
    <row r="52" spans="1:30" outlineLevel="2" x14ac:dyDescent="0.35">
      <c r="A52" s="2"/>
      <c r="B52" s="2"/>
      <c r="C52" s="2"/>
      <c r="D52" s="2"/>
      <c r="E52" s="2" t="s">
        <v>54</v>
      </c>
      <c r="F52" s="2"/>
      <c r="G52" s="2"/>
      <c r="H52" s="6"/>
      <c r="I52" s="7"/>
      <c r="J52" s="6"/>
      <c r="K52" s="7"/>
      <c r="L52" s="8"/>
      <c r="M52" s="7"/>
      <c r="N52" s="6"/>
      <c r="O52" s="7"/>
      <c r="P52" s="6"/>
      <c r="Q52" s="7"/>
      <c r="R52" s="8"/>
      <c r="S52" s="7"/>
      <c r="T52" s="6"/>
      <c r="U52" s="7"/>
      <c r="V52" s="6"/>
      <c r="W52" s="7"/>
      <c r="X52" s="8"/>
      <c r="Y52" s="7"/>
      <c r="Z52" s="6"/>
      <c r="AA52" s="7"/>
      <c r="AB52" s="6"/>
      <c r="AC52" s="7"/>
      <c r="AD52" s="8"/>
    </row>
    <row r="53" spans="1:30" outlineLevel="2" x14ac:dyDescent="0.35">
      <c r="A53" s="2"/>
      <c r="B53" s="2"/>
      <c r="C53" s="2"/>
      <c r="D53" s="2"/>
      <c r="E53" s="2"/>
      <c r="F53" s="2" t="s">
        <v>55</v>
      </c>
      <c r="G53" s="2"/>
      <c r="H53" s="6">
        <v>2497.23</v>
      </c>
      <c r="I53" s="7"/>
      <c r="J53" s="6">
        <v>1000</v>
      </c>
      <c r="K53" s="7"/>
      <c r="L53" s="8">
        <f>ROUND(IF(J53=0, IF(H53=0, 0, 1), H53/J53),5)</f>
        <v>2.4972300000000001</v>
      </c>
      <c r="M53" s="7"/>
      <c r="N53" s="6">
        <v>0</v>
      </c>
      <c r="O53" s="7"/>
      <c r="P53" s="6"/>
      <c r="Q53" s="7"/>
      <c r="R53" s="8"/>
      <c r="S53" s="7"/>
      <c r="T53" s="6">
        <v>0</v>
      </c>
      <c r="U53" s="7"/>
      <c r="V53" s="6"/>
      <c r="W53" s="7"/>
      <c r="X53" s="8"/>
      <c r="Y53" s="7"/>
      <c r="Z53" s="6">
        <f>ROUND(H53+N53+T53,5)</f>
        <v>2497.23</v>
      </c>
      <c r="AA53" s="7"/>
      <c r="AB53" s="6">
        <f>ROUND(J53+P53+V53,5)</f>
        <v>1000</v>
      </c>
      <c r="AC53" s="7"/>
      <c r="AD53" s="8">
        <f>ROUND(IF(AB53=0, IF(Z53=0, 0, 1), Z53/AB53),5)</f>
        <v>2.4972300000000001</v>
      </c>
    </row>
    <row r="54" spans="1:30" outlineLevel="2" x14ac:dyDescent="0.35">
      <c r="A54" s="2"/>
      <c r="B54" s="2"/>
      <c r="C54" s="2"/>
      <c r="D54" s="2"/>
      <c r="E54" s="2"/>
      <c r="F54" s="2" t="s">
        <v>56</v>
      </c>
      <c r="G54" s="2"/>
      <c r="H54" s="6">
        <v>2425.65</v>
      </c>
      <c r="I54" s="7"/>
      <c r="J54" s="6">
        <v>2500</v>
      </c>
      <c r="K54" s="7"/>
      <c r="L54" s="8">
        <f>ROUND(IF(J54=0, IF(H54=0, 0, 1), H54/J54),5)</f>
        <v>0.97026000000000001</v>
      </c>
      <c r="M54" s="7"/>
      <c r="N54" s="6">
        <v>0</v>
      </c>
      <c r="O54" s="7"/>
      <c r="P54" s="6"/>
      <c r="Q54" s="7"/>
      <c r="R54" s="8"/>
      <c r="S54" s="7"/>
      <c r="T54" s="6">
        <v>0</v>
      </c>
      <c r="U54" s="7"/>
      <c r="V54" s="6"/>
      <c r="W54" s="7"/>
      <c r="X54" s="8"/>
      <c r="Y54" s="7"/>
      <c r="Z54" s="6">
        <f>ROUND(H54+N54+T54,5)</f>
        <v>2425.65</v>
      </c>
      <c r="AA54" s="7"/>
      <c r="AB54" s="6">
        <f>ROUND(J54+P54+V54,5)</f>
        <v>2500</v>
      </c>
      <c r="AC54" s="7"/>
      <c r="AD54" s="8">
        <f>ROUND(IF(AB54=0, IF(Z54=0, 0, 1), Z54/AB54),5)</f>
        <v>0.97026000000000001</v>
      </c>
    </row>
    <row r="55" spans="1:30" outlineLevel="3" x14ac:dyDescent="0.35">
      <c r="A55" s="2"/>
      <c r="B55" s="2"/>
      <c r="C55" s="2"/>
      <c r="D55" s="2"/>
      <c r="E55" s="2"/>
      <c r="F55" s="2" t="s">
        <v>57</v>
      </c>
      <c r="G55" s="2"/>
      <c r="H55" s="6"/>
      <c r="I55" s="7"/>
      <c r="J55" s="6"/>
      <c r="K55" s="7"/>
      <c r="L55" s="8"/>
      <c r="M55" s="7"/>
      <c r="N55" s="6"/>
      <c r="O55" s="7"/>
      <c r="P55" s="6"/>
      <c r="Q55" s="7"/>
      <c r="R55" s="8"/>
      <c r="S55" s="7"/>
      <c r="T55" s="6"/>
      <c r="U55" s="7"/>
      <c r="V55" s="6"/>
      <c r="W55" s="7"/>
      <c r="X55" s="8"/>
      <c r="Y55" s="7"/>
      <c r="Z55" s="6"/>
      <c r="AA55" s="7"/>
      <c r="AB55" s="6"/>
      <c r="AC55" s="7"/>
      <c r="AD55" s="8"/>
    </row>
    <row r="56" spans="1:30" outlineLevel="3" x14ac:dyDescent="0.35">
      <c r="A56" s="2"/>
      <c r="B56" s="2"/>
      <c r="C56" s="2"/>
      <c r="D56" s="2"/>
      <c r="E56" s="2"/>
      <c r="F56" s="2"/>
      <c r="G56" s="2" t="s">
        <v>58</v>
      </c>
      <c r="H56" s="6">
        <v>13567.7</v>
      </c>
      <c r="I56" s="7"/>
      <c r="J56" s="6">
        <v>0</v>
      </c>
      <c r="K56" s="7"/>
      <c r="L56" s="8">
        <f>ROUND(IF(J56=0, IF(H56=0, 0, 1), H56/J56),5)</f>
        <v>1</v>
      </c>
      <c r="M56" s="7"/>
      <c r="N56" s="6">
        <v>0</v>
      </c>
      <c r="O56" s="7"/>
      <c r="P56" s="6"/>
      <c r="Q56" s="7"/>
      <c r="R56" s="8"/>
      <c r="S56" s="7"/>
      <c r="T56" s="6">
        <v>0</v>
      </c>
      <c r="U56" s="7"/>
      <c r="V56" s="6"/>
      <c r="W56" s="7"/>
      <c r="X56" s="8"/>
      <c r="Y56" s="7"/>
      <c r="Z56" s="6">
        <f>ROUND(H56+N56+T56,5)</f>
        <v>13567.7</v>
      </c>
      <c r="AA56" s="7"/>
      <c r="AB56" s="6">
        <f>ROUND(J56+P56+V56,5)</f>
        <v>0</v>
      </c>
      <c r="AC56" s="7"/>
      <c r="AD56" s="8">
        <f>ROUND(IF(AB56=0, IF(Z56=0, 0, 1), Z56/AB56),5)</f>
        <v>1</v>
      </c>
    </row>
    <row r="57" spans="1:30" outlineLevel="3" x14ac:dyDescent="0.35">
      <c r="A57" s="2"/>
      <c r="B57" s="2"/>
      <c r="C57" s="2"/>
      <c r="D57" s="2"/>
      <c r="E57" s="2"/>
      <c r="F57" s="2"/>
      <c r="G57" s="2" t="s">
        <v>59</v>
      </c>
      <c r="H57" s="6">
        <v>592.29</v>
      </c>
      <c r="I57" s="7"/>
      <c r="J57" s="6">
        <v>0</v>
      </c>
      <c r="K57" s="7"/>
      <c r="L57" s="8">
        <f>ROUND(IF(J57=0, IF(H57=0, 0, 1), H57/J57),5)</f>
        <v>1</v>
      </c>
      <c r="M57" s="7"/>
      <c r="N57" s="6">
        <v>0</v>
      </c>
      <c r="O57" s="7"/>
      <c r="P57" s="6"/>
      <c r="Q57" s="7"/>
      <c r="R57" s="8"/>
      <c r="S57" s="7"/>
      <c r="T57" s="6">
        <v>0</v>
      </c>
      <c r="U57" s="7"/>
      <c r="V57" s="6"/>
      <c r="W57" s="7"/>
      <c r="X57" s="8"/>
      <c r="Y57" s="7"/>
      <c r="Z57" s="6">
        <f>ROUND(H57+N57+T57,5)</f>
        <v>592.29</v>
      </c>
      <c r="AA57" s="7"/>
      <c r="AB57" s="6">
        <f>ROUND(J57+P57+V57,5)</f>
        <v>0</v>
      </c>
      <c r="AC57" s="7"/>
      <c r="AD57" s="8">
        <f>ROUND(IF(AB57=0, IF(Z57=0, 0, 1), Z57/AB57),5)</f>
        <v>1</v>
      </c>
    </row>
    <row r="58" spans="1:30" ht="15" outlineLevel="3" thickBot="1" x14ac:dyDescent="0.4">
      <c r="A58" s="2"/>
      <c r="B58" s="2"/>
      <c r="C58" s="2"/>
      <c r="D58" s="2"/>
      <c r="E58" s="2"/>
      <c r="F58" s="2"/>
      <c r="G58" s="2" t="s">
        <v>93</v>
      </c>
      <c r="H58" s="9">
        <v>0</v>
      </c>
      <c r="I58" s="7"/>
      <c r="J58" s="9">
        <v>11000</v>
      </c>
      <c r="K58" s="7"/>
      <c r="L58" s="10">
        <f>ROUND(IF(J58=0, IF(H58=0, 0, 1), H58/J58),5)</f>
        <v>0</v>
      </c>
      <c r="M58" s="7"/>
      <c r="N58" s="9">
        <v>0</v>
      </c>
      <c r="O58" s="7"/>
      <c r="P58" s="6"/>
      <c r="Q58" s="7"/>
      <c r="R58" s="8"/>
      <c r="S58" s="7"/>
      <c r="T58" s="9">
        <v>0</v>
      </c>
      <c r="U58" s="7"/>
      <c r="V58" s="6"/>
      <c r="W58" s="7"/>
      <c r="X58" s="8"/>
      <c r="Y58" s="7"/>
      <c r="Z58" s="9">
        <f>ROUND(H58+N58+T58,5)</f>
        <v>0</v>
      </c>
      <c r="AA58" s="7"/>
      <c r="AB58" s="9">
        <f>ROUND(J58+P58+V58,5)</f>
        <v>11000</v>
      </c>
      <c r="AC58" s="7"/>
      <c r="AD58" s="10">
        <f>ROUND(IF(AB58=0, IF(Z58=0, 0, 1), Z58/AB58),5)</f>
        <v>0</v>
      </c>
    </row>
    <row r="59" spans="1:30" outlineLevel="2" x14ac:dyDescent="0.35">
      <c r="A59" s="2"/>
      <c r="B59" s="2"/>
      <c r="C59" s="2"/>
      <c r="D59" s="2"/>
      <c r="E59" s="2"/>
      <c r="F59" s="2" t="s">
        <v>61</v>
      </c>
      <c r="G59" s="2"/>
      <c r="H59" s="6">
        <f>ROUND(SUM(H55:H58),5)</f>
        <v>14159.99</v>
      </c>
      <c r="I59" s="7"/>
      <c r="J59" s="6">
        <f>ROUND(SUM(J55:J58),5)</f>
        <v>11000</v>
      </c>
      <c r="K59" s="7"/>
      <c r="L59" s="8">
        <f>ROUND(IF(J59=0, IF(H59=0, 0, 1), H59/J59),5)</f>
        <v>1.2872699999999999</v>
      </c>
      <c r="M59" s="7"/>
      <c r="N59" s="6">
        <f>ROUND(SUM(N55:N58),5)</f>
        <v>0</v>
      </c>
      <c r="O59" s="7"/>
      <c r="P59" s="6"/>
      <c r="Q59" s="7"/>
      <c r="R59" s="8"/>
      <c r="S59" s="7"/>
      <c r="T59" s="6">
        <f>ROUND(SUM(T55:T58),5)</f>
        <v>0</v>
      </c>
      <c r="U59" s="7"/>
      <c r="V59" s="6"/>
      <c r="W59" s="7"/>
      <c r="X59" s="8"/>
      <c r="Y59" s="7"/>
      <c r="Z59" s="6">
        <f>ROUND(H59+N59+T59,5)</f>
        <v>14159.99</v>
      </c>
      <c r="AA59" s="7"/>
      <c r="AB59" s="6">
        <f>ROUND(J59+P59+V59,5)</f>
        <v>11000</v>
      </c>
      <c r="AC59" s="7"/>
      <c r="AD59" s="8">
        <f>ROUND(IF(AB59=0, IF(Z59=0, 0, 1), Z59/AB59),5)</f>
        <v>1.2872699999999999</v>
      </c>
    </row>
    <row r="60" spans="1:30" outlineLevel="2" x14ac:dyDescent="0.35">
      <c r="A60" s="2"/>
      <c r="B60" s="2"/>
      <c r="C60" s="2"/>
      <c r="D60" s="2"/>
      <c r="E60" s="2"/>
      <c r="F60" s="2" t="s">
        <v>62</v>
      </c>
      <c r="G60" s="2"/>
      <c r="H60" s="6">
        <v>1790.7</v>
      </c>
      <c r="I60" s="7"/>
      <c r="J60" s="6">
        <v>1500</v>
      </c>
      <c r="K60" s="7"/>
      <c r="L60" s="8">
        <f>ROUND(IF(J60=0, IF(H60=0, 0, 1), H60/J60),5)</f>
        <v>1.1938</v>
      </c>
      <c r="M60" s="7"/>
      <c r="N60" s="6">
        <v>0</v>
      </c>
      <c r="O60" s="7"/>
      <c r="P60" s="6"/>
      <c r="Q60" s="7"/>
      <c r="R60" s="8"/>
      <c r="S60" s="7"/>
      <c r="T60" s="6">
        <v>0</v>
      </c>
      <c r="U60" s="7"/>
      <c r="V60" s="6"/>
      <c r="W60" s="7"/>
      <c r="X60" s="8"/>
      <c r="Y60" s="7"/>
      <c r="Z60" s="6">
        <f>ROUND(H60+N60+T60,5)</f>
        <v>1790.7</v>
      </c>
      <c r="AA60" s="7"/>
      <c r="AB60" s="6">
        <f>ROUND(J60+P60+V60,5)</f>
        <v>1500</v>
      </c>
      <c r="AC60" s="7"/>
      <c r="AD60" s="8">
        <f>ROUND(IF(AB60=0, IF(Z60=0, 0, 1), Z60/AB60),5)</f>
        <v>1.1938</v>
      </c>
    </row>
    <row r="61" spans="1:30" outlineLevel="3" x14ac:dyDescent="0.35">
      <c r="A61" s="2"/>
      <c r="B61" s="2"/>
      <c r="C61" s="2"/>
      <c r="D61" s="2"/>
      <c r="E61" s="2"/>
      <c r="F61" s="2" t="s">
        <v>63</v>
      </c>
      <c r="G61" s="2"/>
      <c r="H61" s="6"/>
      <c r="I61" s="7"/>
      <c r="J61" s="6"/>
      <c r="K61" s="7"/>
      <c r="L61" s="8"/>
      <c r="M61" s="7"/>
      <c r="N61" s="6"/>
      <c r="O61" s="7"/>
      <c r="P61" s="6"/>
      <c r="Q61" s="7"/>
      <c r="R61" s="8"/>
      <c r="S61" s="7"/>
      <c r="T61" s="6"/>
      <c r="U61" s="7"/>
      <c r="V61" s="6"/>
      <c r="W61" s="7"/>
      <c r="X61" s="8"/>
      <c r="Y61" s="7"/>
      <c r="Z61" s="6"/>
      <c r="AA61" s="7"/>
      <c r="AB61" s="6"/>
      <c r="AC61" s="7"/>
      <c r="AD61" s="8"/>
    </row>
    <row r="62" spans="1:30" outlineLevel="3" x14ac:dyDescent="0.35">
      <c r="A62" s="2"/>
      <c r="B62" s="2"/>
      <c r="C62" s="2"/>
      <c r="D62" s="2"/>
      <c r="E62" s="2"/>
      <c r="F62" s="2"/>
      <c r="G62" s="2" t="s">
        <v>64</v>
      </c>
      <c r="H62" s="6">
        <v>224.4</v>
      </c>
      <c r="I62" s="7"/>
      <c r="J62" s="6"/>
      <c r="K62" s="7"/>
      <c r="L62" s="8"/>
      <c r="M62" s="7"/>
      <c r="N62" s="6">
        <v>0</v>
      </c>
      <c r="O62" s="7"/>
      <c r="P62" s="6"/>
      <c r="Q62" s="7"/>
      <c r="R62" s="8"/>
      <c r="S62" s="7"/>
      <c r="T62" s="6">
        <v>0</v>
      </c>
      <c r="U62" s="7"/>
      <c r="V62" s="6"/>
      <c r="W62" s="7"/>
      <c r="X62" s="8"/>
      <c r="Y62" s="7"/>
      <c r="Z62" s="6">
        <f t="shared" ref="Z62:Z67" si="10">ROUND(H62+N62+T62,5)</f>
        <v>224.4</v>
      </c>
      <c r="AA62" s="7"/>
      <c r="AB62" s="6">
        <f t="shared" ref="AB62:AB67" si="11">ROUND(J62+P62+V62,5)</f>
        <v>0</v>
      </c>
      <c r="AC62" s="7"/>
      <c r="AD62" s="8">
        <f t="shared" ref="AD62:AD67" si="12">ROUND(IF(AB62=0, IF(Z62=0, 0, 1), Z62/AB62),5)</f>
        <v>1</v>
      </c>
    </row>
    <row r="63" spans="1:30" ht="15" outlineLevel="3" thickBot="1" x14ac:dyDescent="0.4">
      <c r="A63" s="2"/>
      <c r="B63" s="2"/>
      <c r="C63" s="2"/>
      <c r="D63" s="2"/>
      <c r="E63" s="2"/>
      <c r="F63" s="2"/>
      <c r="G63" s="2" t="s">
        <v>65</v>
      </c>
      <c r="H63" s="9">
        <v>3647.97</v>
      </c>
      <c r="I63" s="7"/>
      <c r="J63" s="9">
        <v>7000</v>
      </c>
      <c r="K63" s="7"/>
      <c r="L63" s="10">
        <f>ROUND(IF(J63=0, IF(H63=0, 0, 1), H63/J63),5)</f>
        <v>0.52114000000000005</v>
      </c>
      <c r="M63" s="7"/>
      <c r="N63" s="9">
        <v>0</v>
      </c>
      <c r="O63" s="7"/>
      <c r="P63" s="6"/>
      <c r="Q63" s="7"/>
      <c r="R63" s="8"/>
      <c r="S63" s="7"/>
      <c r="T63" s="9">
        <v>0</v>
      </c>
      <c r="U63" s="7"/>
      <c r="V63" s="6"/>
      <c r="W63" s="7"/>
      <c r="X63" s="8"/>
      <c r="Y63" s="7"/>
      <c r="Z63" s="9">
        <f t="shared" si="10"/>
        <v>3647.97</v>
      </c>
      <c r="AA63" s="7"/>
      <c r="AB63" s="9">
        <f t="shared" si="11"/>
        <v>7000</v>
      </c>
      <c r="AC63" s="7"/>
      <c r="AD63" s="10">
        <f t="shared" si="12"/>
        <v>0.52114000000000005</v>
      </c>
    </row>
    <row r="64" spans="1:30" outlineLevel="2" x14ac:dyDescent="0.35">
      <c r="A64" s="2"/>
      <c r="B64" s="2"/>
      <c r="C64" s="2"/>
      <c r="D64" s="2"/>
      <c r="E64" s="2"/>
      <c r="F64" s="2" t="s">
        <v>66</v>
      </c>
      <c r="G64" s="2"/>
      <c r="H64" s="6">
        <f>ROUND(SUM(H61:H63),5)</f>
        <v>3872.37</v>
      </c>
      <c r="I64" s="7"/>
      <c r="J64" s="6">
        <f>ROUND(SUM(J61:J63),5)</f>
        <v>7000</v>
      </c>
      <c r="K64" s="7"/>
      <c r="L64" s="8">
        <f>ROUND(IF(J64=0, IF(H64=0, 0, 1), H64/J64),5)</f>
        <v>0.55320000000000003</v>
      </c>
      <c r="M64" s="7"/>
      <c r="N64" s="6">
        <f>ROUND(SUM(N61:N63),5)</f>
        <v>0</v>
      </c>
      <c r="O64" s="7"/>
      <c r="P64" s="6"/>
      <c r="Q64" s="7"/>
      <c r="R64" s="8"/>
      <c r="S64" s="7"/>
      <c r="T64" s="6">
        <f>ROUND(SUM(T61:T63),5)</f>
        <v>0</v>
      </c>
      <c r="U64" s="7"/>
      <c r="V64" s="6"/>
      <c r="W64" s="7"/>
      <c r="X64" s="8"/>
      <c r="Y64" s="7"/>
      <c r="Z64" s="6">
        <f t="shared" si="10"/>
        <v>3872.37</v>
      </c>
      <c r="AA64" s="7"/>
      <c r="AB64" s="6">
        <f t="shared" si="11"/>
        <v>7000</v>
      </c>
      <c r="AC64" s="7"/>
      <c r="AD64" s="8">
        <f t="shared" si="12"/>
        <v>0.55320000000000003</v>
      </c>
    </row>
    <row r="65" spans="1:30" outlineLevel="2" x14ac:dyDescent="0.35">
      <c r="A65" s="2"/>
      <c r="B65" s="2"/>
      <c r="C65" s="2"/>
      <c r="D65" s="2"/>
      <c r="E65" s="2"/>
      <c r="F65" s="2" t="s">
        <v>67</v>
      </c>
      <c r="G65" s="2"/>
      <c r="H65" s="6">
        <v>8340.74</v>
      </c>
      <c r="I65" s="7"/>
      <c r="J65" s="6">
        <v>15000</v>
      </c>
      <c r="K65" s="7"/>
      <c r="L65" s="8">
        <f>ROUND(IF(J65=0, IF(H65=0, 0, 1), H65/J65),5)</f>
        <v>0.55605000000000004</v>
      </c>
      <c r="M65" s="7"/>
      <c r="N65" s="6">
        <v>0</v>
      </c>
      <c r="O65" s="7"/>
      <c r="P65" s="6"/>
      <c r="Q65" s="7"/>
      <c r="R65" s="8"/>
      <c r="S65" s="7"/>
      <c r="T65" s="6">
        <v>0</v>
      </c>
      <c r="U65" s="7"/>
      <c r="V65" s="6"/>
      <c r="W65" s="7"/>
      <c r="X65" s="8"/>
      <c r="Y65" s="7"/>
      <c r="Z65" s="6">
        <f t="shared" si="10"/>
        <v>8340.74</v>
      </c>
      <c r="AA65" s="7"/>
      <c r="AB65" s="6">
        <f t="shared" si="11"/>
        <v>15000</v>
      </c>
      <c r="AC65" s="7"/>
      <c r="AD65" s="8">
        <f t="shared" si="12"/>
        <v>0.55605000000000004</v>
      </c>
    </row>
    <row r="66" spans="1:30" ht="15" outlineLevel="2" thickBot="1" x14ac:dyDescent="0.4">
      <c r="A66" s="2"/>
      <c r="B66" s="2"/>
      <c r="C66" s="2"/>
      <c r="D66" s="2"/>
      <c r="E66" s="2"/>
      <c r="F66" s="2" t="s">
        <v>68</v>
      </c>
      <c r="G66" s="2"/>
      <c r="H66" s="9">
        <v>2301.5300000000002</v>
      </c>
      <c r="I66" s="7"/>
      <c r="J66" s="9">
        <v>4500</v>
      </c>
      <c r="K66" s="7"/>
      <c r="L66" s="10">
        <f>ROUND(IF(J66=0, IF(H66=0, 0, 1), H66/J66),5)</f>
        <v>0.51144999999999996</v>
      </c>
      <c r="M66" s="7"/>
      <c r="N66" s="9">
        <v>0</v>
      </c>
      <c r="O66" s="7"/>
      <c r="P66" s="6"/>
      <c r="Q66" s="7"/>
      <c r="R66" s="8"/>
      <c r="S66" s="7"/>
      <c r="T66" s="9">
        <v>0</v>
      </c>
      <c r="U66" s="7"/>
      <c r="V66" s="6"/>
      <c r="W66" s="7"/>
      <c r="X66" s="8"/>
      <c r="Y66" s="7"/>
      <c r="Z66" s="9">
        <f t="shared" si="10"/>
        <v>2301.5300000000002</v>
      </c>
      <c r="AA66" s="7"/>
      <c r="AB66" s="9">
        <f t="shared" si="11"/>
        <v>4500</v>
      </c>
      <c r="AC66" s="7"/>
      <c r="AD66" s="10">
        <f t="shared" si="12"/>
        <v>0.51144999999999996</v>
      </c>
    </row>
    <row r="67" spans="1:30" outlineLevel="1" x14ac:dyDescent="0.35">
      <c r="A67" s="2"/>
      <c r="B67" s="2"/>
      <c r="C67" s="2"/>
      <c r="D67" s="2"/>
      <c r="E67" s="2" t="s">
        <v>69</v>
      </c>
      <c r="F67" s="2"/>
      <c r="G67" s="2"/>
      <c r="H67" s="6">
        <f>ROUND(SUM(H52:H54)+SUM(H59:H60)+SUM(H64:H66),5)</f>
        <v>35388.21</v>
      </c>
      <c r="I67" s="7"/>
      <c r="J67" s="6">
        <f>ROUND(SUM(J52:J54)+SUM(J59:J60)+SUM(J64:J66),5)</f>
        <v>42500</v>
      </c>
      <c r="K67" s="7"/>
      <c r="L67" s="8">
        <f>ROUND(IF(J67=0, IF(H67=0, 0, 1), H67/J67),5)</f>
        <v>0.83265999999999996</v>
      </c>
      <c r="M67" s="7"/>
      <c r="N67" s="6">
        <f>ROUND(SUM(N52:N54)+SUM(N59:N60)+SUM(N64:N66),5)</f>
        <v>0</v>
      </c>
      <c r="O67" s="7"/>
      <c r="P67" s="6"/>
      <c r="Q67" s="7"/>
      <c r="R67" s="8"/>
      <c r="S67" s="7"/>
      <c r="T67" s="6">
        <f>ROUND(SUM(T52:T54)+SUM(T59:T60)+SUM(T64:T66),5)</f>
        <v>0</v>
      </c>
      <c r="U67" s="7"/>
      <c r="V67" s="6"/>
      <c r="W67" s="7"/>
      <c r="X67" s="8"/>
      <c r="Y67" s="7"/>
      <c r="Z67" s="6">
        <f t="shared" si="10"/>
        <v>35388.21</v>
      </c>
      <c r="AA67" s="7"/>
      <c r="AB67" s="6">
        <f t="shared" si="11"/>
        <v>42500</v>
      </c>
      <c r="AC67" s="7"/>
      <c r="AD67" s="8">
        <f t="shared" si="12"/>
        <v>0.83265999999999996</v>
      </c>
    </row>
    <row r="68" spans="1:30" outlineLevel="2" x14ac:dyDescent="0.35">
      <c r="A68" s="2"/>
      <c r="B68" s="2"/>
      <c r="C68" s="2"/>
      <c r="D68" s="2"/>
      <c r="E68" s="2" t="s">
        <v>70</v>
      </c>
      <c r="F68" s="2"/>
      <c r="G68" s="2"/>
      <c r="H68" s="6"/>
      <c r="I68" s="7"/>
      <c r="J68" s="6"/>
      <c r="K68" s="7"/>
      <c r="L68" s="8"/>
      <c r="M68" s="7"/>
      <c r="N68" s="6"/>
      <c r="O68" s="7"/>
      <c r="P68" s="6"/>
      <c r="Q68" s="7"/>
      <c r="R68" s="8"/>
      <c r="S68" s="7"/>
      <c r="T68" s="6"/>
      <c r="U68" s="7"/>
      <c r="V68" s="6"/>
      <c r="W68" s="7"/>
      <c r="X68" s="8"/>
      <c r="Y68" s="7"/>
      <c r="Z68" s="6"/>
      <c r="AA68" s="7"/>
      <c r="AB68" s="6"/>
      <c r="AC68" s="7"/>
      <c r="AD68" s="8"/>
    </row>
    <row r="69" spans="1:30" outlineLevel="2" x14ac:dyDescent="0.35">
      <c r="A69" s="2"/>
      <c r="B69" s="2"/>
      <c r="C69" s="2"/>
      <c r="D69" s="2"/>
      <c r="E69" s="2"/>
      <c r="F69" s="2" t="s">
        <v>71</v>
      </c>
      <c r="G69" s="2"/>
      <c r="H69" s="6">
        <v>3642.83</v>
      </c>
      <c r="I69" s="7"/>
      <c r="J69" s="6">
        <v>3400</v>
      </c>
      <c r="K69" s="7"/>
      <c r="L69" s="8">
        <f>ROUND(IF(J69=0, IF(H69=0, 0, 1), H69/J69),5)</f>
        <v>1.07142</v>
      </c>
      <c r="M69" s="7"/>
      <c r="N69" s="6">
        <v>0</v>
      </c>
      <c r="O69" s="7"/>
      <c r="P69" s="6"/>
      <c r="Q69" s="7"/>
      <c r="R69" s="8"/>
      <c r="S69" s="7"/>
      <c r="T69" s="6">
        <v>0</v>
      </c>
      <c r="U69" s="7"/>
      <c r="V69" s="6"/>
      <c r="W69" s="7"/>
      <c r="X69" s="8"/>
      <c r="Y69" s="7"/>
      <c r="Z69" s="6">
        <f t="shared" ref="Z69:Z74" si="13">ROUND(H69+N69+T69,5)</f>
        <v>3642.83</v>
      </c>
      <c r="AA69" s="7"/>
      <c r="AB69" s="6">
        <f t="shared" ref="AB69:AB74" si="14">ROUND(J69+P69+V69,5)</f>
        <v>3400</v>
      </c>
      <c r="AC69" s="7"/>
      <c r="AD69" s="8">
        <f t="shared" ref="AD69:AD74" si="15">ROUND(IF(AB69=0, IF(Z69=0, 0, 1), Z69/AB69),5)</f>
        <v>1.07142</v>
      </c>
    </row>
    <row r="70" spans="1:30" outlineLevel="2" x14ac:dyDescent="0.35">
      <c r="A70" s="2"/>
      <c r="B70" s="2"/>
      <c r="C70" s="2"/>
      <c r="D70" s="2"/>
      <c r="E70" s="2"/>
      <c r="F70" s="2" t="s">
        <v>72</v>
      </c>
      <c r="G70" s="2"/>
      <c r="H70" s="6">
        <v>9658.66</v>
      </c>
      <c r="I70" s="7"/>
      <c r="J70" s="6">
        <v>9000</v>
      </c>
      <c r="K70" s="7"/>
      <c r="L70" s="8">
        <f>ROUND(IF(J70=0, IF(H70=0, 0, 1), H70/J70),5)</f>
        <v>1.07318</v>
      </c>
      <c r="M70" s="7"/>
      <c r="N70" s="6">
        <v>0</v>
      </c>
      <c r="O70" s="7"/>
      <c r="P70" s="6"/>
      <c r="Q70" s="7"/>
      <c r="R70" s="8"/>
      <c r="S70" s="7"/>
      <c r="T70" s="6">
        <v>0</v>
      </c>
      <c r="U70" s="7"/>
      <c r="V70" s="6"/>
      <c r="W70" s="7"/>
      <c r="X70" s="8"/>
      <c r="Y70" s="7"/>
      <c r="Z70" s="6">
        <f t="shared" si="13"/>
        <v>9658.66</v>
      </c>
      <c r="AA70" s="7"/>
      <c r="AB70" s="6">
        <f t="shared" si="14"/>
        <v>9000</v>
      </c>
      <c r="AC70" s="7"/>
      <c r="AD70" s="8">
        <f t="shared" si="15"/>
        <v>1.07318</v>
      </c>
    </row>
    <row r="71" spans="1:30" outlineLevel="2" x14ac:dyDescent="0.35">
      <c r="A71" s="2"/>
      <c r="B71" s="2"/>
      <c r="C71" s="2"/>
      <c r="D71" s="2"/>
      <c r="E71" s="2"/>
      <c r="F71" s="2" t="s">
        <v>73</v>
      </c>
      <c r="G71" s="2"/>
      <c r="H71" s="6">
        <v>0</v>
      </c>
      <c r="I71" s="7"/>
      <c r="J71" s="6">
        <v>12000</v>
      </c>
      <c r="K71" s="7"/>
      <c r="L71" s="8">
        <f>ROUND(IF(J71=0, IF(H71=0, 0, 1), H71/J71),5)</f>
        <v>0</v>
      </c>
      <c r="M71" s="7"/>
      <c r="N71" s="6">
        <v>0</v>
      </c>
      <c r="O71" s="7"/>
      <c r="P71" s="6"/>
      <c r="Q71" s="7"/>
      <c r="R71" s="8"/>
      <c r="S71" s="7"/>
      <c r="T71" s="6">
        <v>0</v>
      </c>
      <c r="U71" s="7"/>
      <c r="V71" s="6"/>
      <c r="W71" s="7"/>
      <c r="X71" s="8"/>
      <c r="Y71" s="7"/>
      <c r="Z71" s="6">
        <f t="shared" si="13"/>
        <v>0</v>
      </c>
      <c r="AA71" s="7"/>
      <c r="AB71" s="6">
        <f t="shared" si="14"/>
        <v>12000</v>
      </c>
      <c r="AC71" s="7"/>
      <c r="AD71" s="8">
        <f t="shared" si="15"/>
        <v>0</v>
      </c>
    </row>
    <row r="72" spans="1:30" ht="15" outlineLevel="2" thickBot="1" x14ac:dyDescent="0.4">
      <c r="A72" s="2"/>
      <c r="B72" s="2"/>
      <c r="C72" s="2"/>
      <c r="D72" s="2"/>
      <c r="E72" s="2"/>
      <c r="F72" s="2" t="s">
        <v>74</v>
      </c>
      <c r="G72" s="2"/>
      <c r="H72" s="9">
        <v>1521.22</v>
      </c>
      <c r="I72" s="7"/>
      <c r="J72" s="9">
        <v>3500</v>
      </c>
      <c r="K72" s="7"/>
      <c r="L72" s="10">
        <f>ROUND(IF(J72=0, IF(H72=0, 0, 1), H72/J72),5)</f>
        <v>0.43463000000000002</v>
      </c>
      <c r="M72" s="7"/>
      <c r="N72" s="9">
        <v>0</v>
      </c>
      <c r="O72" s="7"/>
      <c r="P72" s="6"/>
      <c r="Q72" s="7"/>
      <c r="R72" s="8"/>
      <c r="S72" s="7"/>
      <c r="T72" s="9">
        <v>0</v>
      </c>
      <c r="U72" s="7"/>
      <c r="V72" s="6"/>
      <c r="W72" s="7"/>
      <c r="X72" s="8"/>
      <c r="Y72" s="7"/>
      <c r="Z72" s="9">
        <f t="shared" si="13"/>
        <v>1521.22</v>
      </c>
      <c r="AA72" s="7"/>
      <c r="AB72" s="9">
        <f t="shared" si="14"/>
        <v>3500</v>
      </c>
      <c r="AC72" s="7"/>
      <c r="AD72" s="10">
        <f t="shared" si="15"/>
        <v>0.43463000000000002</v>
      </c>
    </row>
    <row r="73" spans="1:30" outlineLevel="1" x14ac:dyDescent="0.35">
      <c r="A73" s="2"/>
      <c r="B73" s="2"/>
      <c r="C73" s="2"/>
      <c r="D73" s="2"/>
      <c r="E73" s="2" t="s">
        <v>75</v>
      </c>
      <c r="F73" s="2"/>
      <c r="G73" s="2"/>
      <c r="H73" s="6">
        <f>ROUND(SUM(H68:H72),5)</f>
        <v>14822.71</v>
      </c>
      <c r="I73" s="7"/>
      <c r="J73" s="6">
        <f>ROUND(SUM(J68:J72),5)</f>
        <v>27900</v>
      </c>
      <c r="K73" s="7"/>
      <c r="L73" s="8">
        <f>ROUND(IF(J73=0, IF(H73=0, 0, 1), H73/J73),5)</f>
        <v>0.53127999999999997</v>
      </c>
      <c r="M73" s="7"/>
      <c r="N73" s="6">
        <f>ROUND(SUM(N68:N72),5)</f>
        <v>0</v>
      </c>
      <c r="O73" s="7"/>
      <c r="P73" s="6"/>
      <c r="Q73" s="7"/>
      <c r="R73" s="8"/>
      <c r="S73" s="7"/>
      <c r="T73" s="6">
        <f>ROUND(SUM(T68:T72),5)</f>
        <v>0</v>
      </c>
      <c r="U73" s="7"/>
      <c r="V73" s="6"/>
      <c r="W73" s="7"/>
      <c r="X73" s="8"/>
      <c r="Y73" s="7"/>
      <c r="Z73" s="6">
        <f t="shared" si="13"/>
        <v>14822.71</v>
      </c>
      <c r="AA73" s="7"/>
      <c r="AB73" s="6">
        <f t="shared" si="14"/>
        <v>27900</v>
      </c>
      <c r="AC73" s="7"/>
      <c r="AD73" s="8">
        <f t="shared" si="15"/>
        <v>0.53127999999999997</v>
      </c>
    </row>
    <row r="74" spans="1:30" outlineLevel="1" x14ac:dyDescent="0.35">
      <c r="A74" s="2"/>
      <c r="B74" s="2"/>
      <c r="C74" s="2"/>
      <c r="D74" s="2"/>
      <c r="E74" s="2" t="s">
        <v>76</v>
      </c>
      <c r="F74" s="2"/>
      <c r="G74" s="2"/>
      <c r="H74" s="6">
        <v>0</v>
      </c>
      <c r="I74" s="7"/>
      <c r="J74" s="6"/>
      <c r="K74" s="7"/>
      <c r="L74" s="8"/>
      <c r="M74" s="7"/>
      <c r="N74" s="6">
        <v>0</v>
      </c>
      <c r="O74" s="7"/>
      <c r="P74" s="6"/>
      <c r="Q74" s="7"/>
      <c r="R74" s="8"/>
      <c r="S74" s="7"/>
      <c r="T74" s="6">
        <v>29487.94</v>
      </c>
      <c r="U74" s="7"/>
      <c r="V74" s="6">
        <v>50000</v>
      </c>
      <c r="W74" s="7"/>
      <c r="X74" s="8">
        <f>ROUND(IF(V74=0, IF(T74=0, 0, 1), T74/V74),5)</f>
        <v>0.58975999999999995</v>
      </c>
      <c r="Y74" s="7"/>
      <c r="Z74" s="6">
        <f t="shared" si="13"/>
        <v>29487.94</v>
      </c>
      <c r="AA74" s="7"/>
      <c r="AB74" s="6">
        <f t="shared" si="14"/>
        <v>50000</v>
      </c>
      <c r="AC74" s="7"/>
      <c r="AD74" s="8">
        <f t="shared" si="15"/>
        <v>0.58975999999999995</v>
      </c>
    </row>
    <row r="75" spans="1:30" outlineLevel="2" x14ac:dyDescent="0.35">
      <c r="A75" s="2"/>
      <c r="B75" s="2"/>
      <c r="C75" s="2"/>
      <c r="D75" s="2"/>
      <c r="E75" s="2" t="s">
        <v>77</v>
      </c>
      <c r="F75" s="2"/>
      <c r="G75" s="2"/>
      <c r="H75" s="6"/>
      <c r="I75" s="7"/>
      <c r="J75" s="6"/>
      <c r="K75" s="7"/>
      <c r="L75" s="8"/>
      <c r="M75" s="7"/>
      <c r="N75" s="6"/>
      <c r="O75" s="7"/>
      <c r="P75" s="6"/>
      <c r="Q75" s="7"/>
      <c r="R75" s="8"/>
      <c r="S75" s="7"/>
      <c r="T75" s="6"/>
      <c r="U75" s="7"/>
      <c r="V75" s="6"/>
      <c r="W75" s="7"/>
      <c r="X75" s="8"/>
      <c r="Y75" s="7"/>
      <c r="Z75" s="6"/>
      <c r="AA75" s="7"/>
      <c r="AB75" s="6"/>
      <c r="AC75" s="7"/>
      <c r="AD75" s="8"/>
    </row>
    <row r="76" spans="1:30" outlineLevel="2" x14ac:dyDescent="0.35">
      <c r="A76" s="2"/>
      <c r="B76" s="2"/>
      <c r="C76" s="2"/>
      <c r="D76" s="2"/>
      <c r="E76" s="2"/>
      <c r="F76" s="2" t="s">
        <v>94</v>
      </c>
      <c r="G76" s="2"/>
      <c r="H76" s="6">
        <v>0</v>
      </c>
      <c r="I76" s="7"/>
      <c r="J76" s="6"/>
      <c r="K76" s="7"/>
      <c r="L76" s="8"/>
      <c r="M76" s="7"/>
      <c r="N76" s="6">
        <v>0</v>
      </c>
      <c r="O76" s="7"/>
      <c r="P76" s="6"/>
      <c r="Q76" s="7"/>
      <c r="R76" s="8"/>
      <c r="S76" s="7"/>
      <c r="T76" s="6">
        <v>3969.88</v>
      </c>
      <c r="U76" s="7"/>
      <c r="V76" s="6"/>
      <c r="W76" s="7"/>
      <c r="X76" s="8"/>
      <c r="Y76" s="7"/>
      <c r="Z76" s="6">
        <f t="shared" ref="Z76:Z88" si="16">ROUND(H76+N76+T76,5)</f>
        <v>3969.88</v>
      </c>
      <c r="AA76" s="7"/>
      <c r="AB76" s="6">
        <f t="shared" ref="AB76:AB88" si="17">ROUND(J76+P76+V76,5)</f>
        <v>0</v>
      </c>
      <c r="AC76" s="7"/>
      <c r="AD76" s="8">
        <f t="shared" ref="AD76:AD88" si="18">ROUND(IF(AB76=0, IF(Z76=0, 0, 1), Z76/AB76),5)</f>
        <v>1</v>
      </c>
    </row>
    <row r="77" spans="1:30" outlineLevel="2" x14ac:dyDescent="0.35">
      <c r="A77" s="2"/>
      <c r="B77" s="2"/>
      <c r="C77" s="2"/>
      <c r="D77" s="2"/>
      <c r="E77" s="2"/>
      <c r="F77" s="2" t="s">
        <v>78</v>
      </c>
      <c r="G77" s="2"/>
      <c r="H77" s="6">
        <v>0</v>
      </c>
      <c r="I77" s="7"/>
      <c r="J77" s="6"/>
      <c r="K77" s="7"/>
      <c r="L77" s="8"/>
      <c r="M77" s="7"/>
      <c r="N77" s="6">
        <v>2661.19</v>
      </c>
      <c r="O77" s="7"/>
      <c r="P77" s="6">
        <v>3000</v>
      </c>
      <c r="Q77" s="7"/>
      <c r="R77" s="8">
        <f>ROUND(IF(P77=0, IF(N77=0, 0, 1), N77/P77),5)</f>
        <v>0.88705999999999996</v>
      </c>
      <c r="S77" s="7"/>
      <c r="T77" s="6">
        <v>0</v>
      </c>
      <c r="U77" s="7"/>
      <c r="V77" s="6"/>
      <c r="W77" s="7"/>
      <c r="X77" s="8"/>
      <c r="Y77" s="7"/>
      <c r="Z77" s="6">
        <f t="shared" si="16"/>
        <v>2661.19</v>
      </c>
      <c r="AA77" s="7"/>
      <c r="AB77" s="6">
        <f t="shared" si="17"/>
        <v>3000</v>
      </c>
      <c r="AC77" s="7"/>
      <c r="AD77" s="8">
        <f t="shared" si="18"/>
        <v>0.88705999999999996</v>
      </c>
    </row>
    <row r="78" spans="1:30" outlineLevel="2" x14ac:dyDescent="0.35">
      <c r="A78" s="2"/>
      <c r="B78" s="2"/>
      <c r="C78" s="2"/>
      <c r="D78" s="2"/>
      <c r="E78" s="2"/>
      <c r="F78" s="2" t="s">
        <v>95</v>
      </c>
      <c r="G78" s="2"/>
      <c r="H78" s="6">
        <v>0</v>
      </c>
      <c r="I78" s="7"/>
      <c r="J78" s="6"/>
      <c r="K78" s="7"/>
      <c r="L78" s="8"/>
      <c r="M78" s="7"/>
      <c r="N78" s="6">
        <v>0</v>
      </c>
      <c r="O78" s="7"/>
      <c r="P78" s="6">
        <v>30000</v>
      </c>
      <c r="Q78" s="7"/>
      <c r="R78" s="8">
        <f>ROUND(IF(P78=0, IF(N78=0, 0, 1), N78/P78),5)</f>
        <v>0</v>
      </c>
      <c r="S78" s="7"/>
      <c r="T78" s="6">
        <v>0</v>
      </c>
      <c r="U78" s="7"/>
      <c r="V78" s="6">
        <v>22500</v>
      </c>
      <c r="W78" s="7"/>
      <c r="X78" s="8">
        <f>ROUND(IF(V78=0, IF(T78=0, 0, 1), T78/V78),5)</f>
        <v>0</v>
      </c>
      <c r="Y78" s="7"/>
      <c r="Z78" s="6">
        <f t="shared" si="16"/>
        <v>0</v>
      </c>
      <c r="AA78" s="7"/>
      <c r="AB78" s="6">
        <f t="shared" si="17"/>
        <v>52500</v>
      </c>
      <c r="AC78" s="7"/>
      <c r="AD78" s="8">
        <f t="shared" si="18"/>
        <v>0</v>
      </c>
    </row>
    <row r="79" spans="1:30" outlineLevel="2" x14ac:dyDescent="0.35">
      <c r="A79" s="2"/>
      <c r="B79" s="2"/>
      <c r="C79" s="2"/>
      <c r="D79" s="2"/>
      <c r="E79" s="2"/>
      <c r="F79" s="2" t="s">
        <v>79</v>
      </c>
      <c r="G79" s="2"/>
      <c r="H79" s="6">
        <v>0</v>
      </c>
      <c r="I79" s="7"/>
      <c r="J79" s="6"/>
      <c r="K79" s="7"/>
      <c r="L79" s="8"/>
      <c r="M79" s="7"/>
      <c r="N79" s="6">
        <v>0</v>
      </c>
      <c r="O79" s="7"/>
      <c r="P79" s="6"/>
      <c r="Q79" s="7"/>
      <c r="R79" s="8"/>
      <c r="S79" s="7"/>
      <c r="T79" s="6">
        <v>0</v>
      </c>
      <c r="U79" s="7"/>
      <c r="V79" s="6">
        <v>500000</v>
      </c>
      <c r="W79" s="7"/>
      <c r="X79" s="8">
        <f>ROUND(IF(V79=0, IF(T79=0, 0, 1), T79/V79),5)</f>
        <v>0</v>
      </c>
      <c r="Y79" s="7"/>
      <c r="Z79" s="6">
        <f t="shared" si="16"/>
        <v>0</v>
      </c>
      <c r="AA79" s="7"/>
      <c r="AB79" s="6">
        <f t="shared" si="17"/>
        <v>500000</v>
      </c>
      <c r="AC79" s="7"/>
      <c r="AD79" s="8">
        <f t="shared" si="18"/>
        <v>0</v>
      </c>
    </row>
    <row r="80" spans="1:30" outlineLevel="2" x14ac:dyDescent="0.35">
      <c r="A80" s="2"/>
      <c r="B80" s="2"/>
      <c r="C80" s="2"/>
      <c r="D80" s="2"/>
      <c r="E80" s="2"/>
      <c r="F80" s="2" t="s">
        <v>81</v>
      </c>
      <c r="G80" s="2"/>
      <c r="H80" s="6">
        <v>0</v>
      </c>
      <c r="I80" s="7"/>
      <c r="J80" s="6"/>
      <c r="K80" s="7"/>
      <c r="L80" s="8"/>
      <c r="M80" s="7"/>
      <c r="N80" s="6">
        <v>0</v>
      </c>
      <c r="O80" s="7"/>
      <c r="P80" s="6">
        <v>35000</v>
      </c>
      <c r="Q80" s="7"/>
      <c r="R80" s="8">
        <f>ROUND(IF(P80=0, IF(N80=0, 0, 1), N80/P80),5)</f>
        <v>0</v>
      </c>
      <c r="S80" s="7"/>
      <c r="T80" s="6">
        <v>0</v>
      </c>
      <c r="U80" s="7"/>
      <c r="V80" s="6"/>
      <c r="W80" s="7"/>
      <c r="X80" s="8"/>
      <c r="Y80" s="7"/>
      <c r="Z80" s="6">
        <f t="shared" si="16"/>
        <v>0</v>
      </c>
      <c r="AA80" s="7"/>
      <c r="AB80" s="6">
        <f t="shared" si="17"/>
        <v>35000</v>
      </c>
      <c r="AC80" s="7"/>
      <c r="AD80" s="8">
        <f t="shared" si="18"/>
        <v>0</v>
      </c>
    </row>
    <row r="81" spans="1:30" ht="15" outlineLevel="2" thickBot="1" x14ac:dyDescent="0.4">
      <c r="A81" s="2"/>
      <c r="B81" s="2"/>
      <c r="C81" s="2"/>
      <c r="D81" s="2"/>
      <c r="E81" s="2"/>
      <c r="F81" s="2" t="s">
        <v>96</v>
      </c>
      <c r="G81" s="2"/>
      <c r="H81" s="9">
        <v>0</v>
      </c>
      <c r="I81" s="7"/>
      <c r="J81" s="6"/>
      <c r="K81" s="7"/>
      <c r="L81" s="8"/>
      <c r="M81" s="7"/>
      <c r="N81" s="9">
        <v>0</v>
      </c>
      <c r="O81" s="7"/>
      <c r="P81" s="9"/>
      <c r="Q81" s="7"/>
      <c r="R81" s="10"/>
      <c r="S81" s="7"/>
      <c r="T81" s="9">
        <v>0</v>
      </c>
      <c r="U81" s="7"/>
      <c r="V81" s="9">
        <v>3000</v>
      </c>
      <c r="W81" s="7"/>
      <c r="X81" s="10">
        <f>ROUND(IF(V81=0, IF(T81=0, 0, 1), T81/V81),5)</f>
        <v>0</v>
      </c>
      <c r="Y81" s="7"/>
      <c r="Z81" s="9">
        <f t="shared" si="16"/>
        <v>0</v>
      </c>
      <c r="AA81" s="7"/>
      <c r="AB81" s="9">
        <f t="shared" si="17"/>
        <v>3000</v>
      </c>
      <c r="AC81" s="7"/>
      <c r="AD81" s="10">
        <f t="shared" si="18"/>
        <v>0</v>
      </c>
    </row>
    <row r="82" spans="1:30" outlineLevel="1" x14ac:dyDescent="0.35">
      <c r="A82" s="2"/>
      <c r="B82" s="2"/>
      <c r="C82" s="2"/>
      <c r="D82" s="2"/>
      <c r="E82" s="2" t="s">
        <v>82</v>
      </c>
      <c r="F82" s="2"/>
      <c r="G82" s="2"/>
      <c r="H82" s="6">
        <f>ROUND(SUM(H75:H81),5)</f>
        <v>0</v>
      </c>
      <c r="I82" s="7"/>
      <c r="J82" s="6"/>
      <c r="K82" s="7"/>
      <c r="L82" s="8"/>
      <c r="M82" s="7"/>
      <c r="N82" s="6">
        <f>ROUND(SUM(N75:N81),5)</f>
        <v>2661.19</v>
      </c>
      <c r="O82" s="7"/>
      <c r="P82" s="6">
        <f>ROUND(SUM(P75:P81),5)</f>
        <v>68000</v>
      </c>
      <c r="Q82" s="7"/>
      <c r="R82" s="8">
        <f>ROUND(IF(P82=0, IF(N82=0, 0, 1), N82/P82),5)</f>
        <v>3.9140000000000001E-2</v>
      </c>
      <c r="S82" s="7"/>
      <c r="T82" s="6">
        <f>ROUND(SUM(T75:T81),5)</f>
        <v>3969.88</v>
      </c>
      <c r="U82" s="7"/>
      <c r="V82" s="6">
        <f>ROUND(SUM(V75:V81),5)</f>
        <v>525500</v>
      </c>
      <c r="W82" s="7"/>
      <c r="X82" s="8">
        <f>ROUND(IF(V82=0, IF(T82=0, 0, 1), T82/V82),5)</f>
        <v>7.5500000000000003E-3</v>
      </c>
      <c r="Y82" s="7"/>
      <c r="Z82" s="6">
        <f t="shared" si="16"/>
        <v>6631.07</v>
      </c>
      <c r="AA82" s="7"/>
      <c r="AB82" s="6">
        <f t="shared" si="17"/>
        <v>593500</v>
      </c>
      <c r="AC82" s="7"/>
      <c r="AD82" s="8">
        <f t="shared" si="18"/>
        <v>1.1169999999999999E-2</v>
      </c>
    </row>
    <row r="83" spans="1:30" outlineLevel="1" x14ac:dyDescent="0.35">
      <c r="A83" s="2"/>
      <c r="B83" s="2"/>
      <c r="C83" s="2"/>
      <c r="D83" s="2"/>
      <c r="E83" s="2" t="s">
        <v>83</v>
      </c>
      <c r="F83" s="2"/>
      <c r="G83" s="2"/>
      <c r="H83" s="6">
        <v>0</v>
      </c>
      <c r="I83" s="7"/>
      <c r="J83" s="6"/>
      <c r="K83" s="7"/>
      <c r="L83" s="8"/>
      <c r="M83" s="7"/>
      <c r="N83" s="6">
        <v>0</v>
      </c>
      <c r="O83" s="7"/>
      <c r="P83" s="6"/>
      <c r="Q83" s="7"/>
      <c r="R83" s="8"/>
      <c r="S83" s="7"/>
      <c r="T83" s="6">
        <v>5926.98</v>
      </c>
      <c r="U83" s="7"/>
      <c r="V83" s="6"/>
      <c r="W83" s="7"/>
      <c r="X83" s="8"/>
      <c r="Y83" s="7"/>
      <c r="Z83" s="6">
        <f t="shared" si="16"/>
        <v>5926.98</v>
      </c>
      <c r="AA83" s="7"/>
      <c r="AB83" s="6">
        <f t="shared" si="17"/>
        <v>0</v>
      </c>
      <c r="AC83" s="7"/>
      <c r="AD83" s="8">
        <f t="shared" si="18"/>
        <v>1</v>
      </c>
    </row>
    <row r="84" spans="1:30" ht="15" outlineLevel="1" thickBot="1" x14ac:dyDescent="0.4">
      <c r="A84" s="2"/>
      <c r="B84" s="2"/>
      <c r="C84" s="2"/>
      <c r="D84" s="2"/>
      <c r="E84" s="2" t="s">
        <v>84</v>
      </c>
      <c r="F84" s="2"/>
      <c r="G84" s="2"/>
      <c r="H84" s="6">
        <v>0</v>
      </c>
      <c r="I84" s="7"/>
      <c r="J84" s="6"/>
      <c r="K84" s="7"/>
      <c r="L84" s="8"/>
      <c r="M84" s="7"/>
      <c r="N84" s="6">
        <v>2926.02</v>
      </c>
      <c r="O84" s="7"/>
      <c r="P84" s="6">
        <v>9000</v>
      </c>
      <c r="Q84" s="7"/>
      <c r="R84" s="8">
        <f>ROUND(IF(P84=0, IF(N84=0, 0, 1), N84/P84),5)</f>
        <v>0.32511000000000001</v>
      </c>
      <c r="S84" s="7"/>
      <c r="T84" s="6">
        <v>0</v>
      </c>
      <c r="U84" s="7"/>
      <c r="V84" s="6">
        <v>3000</v>
      </c>
      <c r="W84" s="7"/>
      <c r="X84" s="8">
        <f>ROUND(IF(V84=0, IF(T84=0, 0, 1), T84/V84),5)</f>
        <v>0</v>
      </c>
      <c r="Y84" s="7"/>
      <c r="Z84" s="6">
        <f t="shared" si="16"/>
        <v>2926.02</v>
      </c>
      <c r="AA84" s="7"/>
      <c r="AB84" s="6">
        <f t="shared" si="17"/>
        <v>12000</v>
      </c>
      <c r="AC84" s="7"/>
      <c r="AD84" s="8">
        <f t="shared" si="18"/>
        <v>0.24384</v>
      </c>
    </row>
    <row r="85" spans="1:30" ht="15" thickBot="1" x14ac:dyDescent="0.4">
      <c r="A85" s="2"/>
      <c r="B85" s="2"/>
      <c r="C85" s="2"/>
      <c r="D85" s="2" t="s">
        <v>85</v>
      </c>
      <c r="E85" s="2"/>
      <c r="F85" s="2"/>
      <c r="G85" s="2"/>
      <c r="H85" s="11">
        <f>ROUND(SUM(H30:H31)+H51+H67+SUM(H73:H74)+SUM(H82:H84),5)</f>
        <v>186073.27</v>
      </c>
      <c r="I85" s="7"/>
      <c r="J85" s="11">
        <f>ROUND(SUM(J30:J31)+J51+J67+SUM(J73:J74)+SUM(J82:J84),5)</f>
        <v>201650</v>
      </c>
      <c r="K85" s="7"/>
      <c r="L85" s="12">
        <f>ROUND(IF(J85=0, IF(H85=0, 0, 1), H85/J85),5)</f>
        <v>0.92274999999999996</v>
      </c>
      <c r="M85" s="7"/>
      <c r="N85" s="11">
        <f>ROUND(SUM(N30:N31)+N51+N67+SUM(N73:N74)+SUM(N82:N84),5)</f>
        <v>5587.21</v>
      </c>
      <c r="O85" s="7"/>
      <c r="P85" s="11">
        <f>ROUND(SUM(P30:P31)+P51+P67+SUM(P73:P74)+SUM(P82:P84),5)</f>
        <v>77000</v>
      </c>
      <c r="Q85" s="7"/>
      <c r="R85" s="12">
        <f>ROUND(IF(P85=0, IF(N85=0, 0, 1), N85/P85),5)</f>
        <v>7.2559999999999999E-2</v>
      </c>
      <c r="S85" s="7"/>
      <c r="T85" s="11">
        <f>ROUND(SUM(T30:T31)+T51+T67+SUM(T73:T74)+SUM(T82:T84),5)</f>
        <v>47588.33</v>
      </c>
      <c r="U85" s="7"/>
      <c r="V85" s="11">
        <f>ROUND(SUM(V30:V31)+V51+V67+SUM(V73:V74)+SUM(V82:V84),5)</f>
        <v>578500</v>
      </c>
      <c r="W85" s="7"/>
      <c r="X85" s="12">
        <f>ROUND(IF(V85=0, IF(T85=0, 0, 1), T85/V85),5)</f>
        <v>8.226E-2</v>
      </c>
      <c r="Y85" s="7"/>
      <c r="Z85" s="11">
        <f t="shared" si="16"/>
        <v>239248.81</v>
      </c>
      <c r="AA85" s="7"/>
      <c r="AB85" s="11">
        <f t="shared" si="17"/>
        <v>857150</v>
      </c>
      <c r="AC85" s="7"/>
      <c r="AD85" s="12">
        <f t="shared" si="18"/>
        <v>0.27911999999999998</v>
      </c>
    </row>
    <row r="86" spans="1:30" outlineLevel="1" x14ac:dyDescent="0.35">
      <c r="A86" s="2"/>
      <c r="B86" s="2" t="s">
        <v>86</v>
      </c>
      <c r="C86" s="2"/>
      <c r="D86" s="2"/>
      <c r="E86" s="2"/>
      <c r="F86" s="2"/>
      <c r="G86" s="2"/>
      <c r="H86" s="6">
        <f>ROUND(H3+H29-H85,5)</f>
        <v>37473.550000000003</v>
      </c>
      <c r="I86" s="7"/>
      <c r="J86" s="6">
        <f>ROUND(J3+J29-J85,5)</f>
        <v>19450</v>
      </c>
      <c r="K86" s="7"/>
      <c r="L86" s="8">
        <f>ROUND(IF(J86=0, IF(H86=0, 0, 1), H86/J86),5)</f>
        <v>1.92666</v>
      </c>
      <c r="M86" s="7"/>
      <c r="N86" s="6">
        <f>ROUND(N3+N29-N85,5)</f>
        <v>-5587.21</v>
      </c>
      <c r="O86" s="7"/>
      <c r="P86" s="6">
        <f>ROUND(P3+P29-P85,5)</f>
        <v>-77000</v>
      </c>
      <c r="Q86" s="7"/>
      <c r="R86" s="8">
        <f>ROUND(IF(P86=0, IF(N86=0, 0, 1), N86/P86),5)</f>
        <v>7.2559999999999999E-2</v>
      </c>
      <c r="S86" s="7"/>
      <c r="T86" s="6">
        <f>ROUND(T3+T29-T85,5)</f>
        <v>40472.39</v>
      </c>
      <c r="U86" s="7"/>
      <c r="V86" s="6">
        <f>ROUND(V3+V29-V85,5)</f>
        <v>-493420</v>
      </c>
      <c r="W86" s="7"/>
      <c r="X86" s="8">
        <f>ROUND(IF(V86=0, IF(T86=0, 0, 1), T86/V86),5)</f>
        <v>-8.2019999999999996E-2</v>
      </c>
      <c r="Y86" s="7"/>
      <c r="Z86" s="6">
        <f t="shared" si="16"/>
        <v>72358.73</v>
      </c>
      <c r="AA86" s="7"/>
      <c r="AB86" s="6">
        <f t="shared" si="17"/>
        <v>-550970</v>
      </c>
      <c r="AC86" s="7"/>
      <c r="AD86" s="8">
        <f t="shared" si="18"/>
        <v>-0.13133</v>
      </c>
    </row>
    <row r="87" spans="1:30" ht="15" outlineLevel="1" thickBot="1" x14ac:dyDescent="0.4">
      <c r="A87" s="2"/>
      <c r="B87" s="2" t="s">
        <v>87</v>
      </c>
      <c r="C87" s="2"/>
      <c r="D87" s="2"/>
      <c r="E87" s="2"/>
      <c r="F87" s="2"/>
      <c r="G87" s="2"/>
      <c r="H87" s="6">
        <v>-30000</v>
      </c>
      <c r="I87" s="7"/>
      <c r="J87" s="6">
        <v>-30000</v>
      </c>
      <c r="K87" s="7"/>
      <c r="L87" s="8">
        <f>ROUND(IF(J87=0, IF(H87=0, 0, 1), H87/J87),5)</f>
        <v>1</v>
      </c>
      <c r="M87" s="7"/>
      <c r="N87" s="6">
        <v>30000</v>
      </c>
      <c r="O87" s="7"/>
      <c r="P87" s="6">
        <v>30000</v>
      </c>
      <c r="Q87" s="7"/>
      <c r="R87" s="8">
        <f>ROUND(IF(P87=0, IF(N87=0, 0, 1), N87/P87),5)</f>
        <v>1</v>
      </c>
      <c r="S87" s="7"/>
      <c r="T87" s="6">
        <v>0</v>
      </c>
      <c r="U87" s="7"/>
      <c r="V87" s="6"/>
      <c r="W87" s="7"/>
      <c r="X87" s="8"/>
      <c r="Y87" s="7"/>
      <c r="Z87" s="6">
        <f t="shared" si="16"/>
        <v>0</v>
      </c>
      <c r="AA87" s="7"/>
      <c r="AB87" s="6">
        <f t="shared" si="17"/>
        <v>0</v>
      </c>
      <c r="AC87" s="7"/>
      <c r="AD87" s="8">
        <f t="shared" si="18"/>
        <v>0</v>
      </c>
    </row>
    <row r="88" spans="1:30" s="15" customFormat="1" ht="11" thickBot="1" x14ac:dyDescent="0.3">
      <c r="A88" s="2" t="s">
        <v>88</v>
      </c>
      <c r="B88" s="2"/>
      <c r="C88" s="2"/>
      <c r="D88" s="2"/>
      <c r="E88" s="2"/>
      <c r="F88" s="2"/>
      <c r="G88" s="2"/>
      <c r="H88" s="13">
        <f>ROUND(SUM(H86:H87),5)</f>
        <v>7473.55</v>
      </c>
      <c r="I88" s="2"/>
      <c r="J88" s="13">
        <f>ROUND(SUM(J86:J87),5)</f>
        <v>-10550</v>
      </c>
      <c r="K88" s="2"/>
      <c r="L88" s="14">
        <f>ROUND(IF(J88=0, IF(H88=0, 0, 1), H88/J88),5)</f>
        <v>-0.70838999999999996</v>
      </c>
      <c r="M88" s="2"/>
      <c r="N88" s="13">
        <f>ROUND(SUM(N86:N87),5)</f>
        <v>24412.79</v>
      </c>
      <c r="O88" s="2"/>
      <c r="P88" s="13">
        <f>ROUND(SUM(P86:P87),5)</f>
        <v>-47000</v>
      </c>
      <c r="Q88" s="2"/>
      <c r="R88" s="14">
        <f>ROUND(IF(P88=0, IF(N88=0, 0, 1), N88/P88),5)</f>
        <v>-0.51941999999999999</v>
      </c>
      <c r="S88" s="2"/>
      <c r="T88" s="13">
        <f>ROUND(SUM(T86:T87),5)</f>
        <v>40472.39</v>
      </c>
      <c r="U88" s="2"/>
      <c r="V88" s="13">
        <f>ROUND(SUM(V86:V87),5)</f>
        <v>-493420</v>
      </c>
      <c r="W88" s="2"/>
      <c r="X88" s="14">
        <f>ROUND(IF(V88=0, IF(T88=0, 0, 1), T88/V88),5)</f>
        <v>-8.2019999999999996E-2</v>
      </c>
      <c r="Y88" s="2"/>
      <c r="Z88" s="13">
        <f t="shared" si="16"/>
        <v>72358.73</v>
      </c>
      <c r="AA88" s="2"/>
      <c r="AB88" s="13">
        <f t="shared" si="17"/>
        <v>-550970</v>
      </c>
      <c r="AC88" s="2"/>
      <c r="AD88" s="14">
        <f t="shared" si="18"/>
        <v>-0.13133</v>
      </c>
    </row>
    <row r="89" spans="1:30" ht="15" thickTop="1" x14ac:dyDescent="0.35"/>
  </sheetData>
  <pageMargins left="0.7" right="0.7" top="0.75" bottom="0.75" header="0.1" footer="0.3"/>
  <pageSetup orientation="portrait" r:id="rId1"/>
  <headerFooter>
    <oddHeader>&amp;L&amp;"Arial,Bold"&amp;8 01/25/22&amp;C&amp;"Arial,Bold"&amp;12 Dockton Water Association
&amp;"Arial,Bold"&amp;14 Budget vs Actual by Class
&amp;"Arial,Bold"&amp;10 July 2020 through June 2021</oddHeader>
  </headerFooter>
  <drawing r:id="rId2"/>
  <legacyDrawing r:id="rId3"/>
  <controls>
    <mc:AlternateContent xmlns:mc="http://schemas.openxmlformats.org/markup-compatibility/2006">
      <mc:Choice Requires="x14">
        <control shapeId="4098" r:id="rId4" name="HEADER">
          <controlPr defaultSize="0" autoLine="0" r:id="rId5">
            <anchor moveWithCells="1">
              <from>
                <xdr:col>0</xdr:col>
                <xdr:colOff>0</xdr:colOff>
                <xdr:row>0</xdr:row>
                <xdr:rowOff>0</xdr:rowOff>
              </from>
              <to>
                <xdr:col>4</xdr:col>
                <xdr:colOff>76200</xdr:colOff>
                <xdr:row>1</xdr:row>
                <xdr:rowOff>38100</xdr:rowOff>
              </to>
            </anchor>
          </controlPr>
        </control>
      </mc:Choice>
      <mc:Fallback>
        <control shapeId="4098" r:id="rId4" name="HEADER"/>
      </mc:Fallback>
    </mc:AlternateContent>
    <mc:AlternateContent xmlns:mc="http://schemas.openxmlformats.org/markup-compatibility/2006">
      <mc:Choice Requires="x14">
        <control shapeId="4097" r:id="rId6" name="FILTER">
          <controlPr defaultSize="0" autoLine="0" r:id="rId7">
            <anchor moveWithCells="1">
              <from>
                <xdr:col>0</xdr:col>
                <xdr:colOff>0</xdr:colOff>
                <xdr:row>0</xdr:row>
                <xdr:rowOff>0</xdr:rowOff>
              </from>
              <to>
                <xdr:col>4</xdr:col>
                <xdr:colOff>76200</xdr:colOff>
                <xdr:row>1</xdr:row>
                <xdr:rowOff>38100</xdr:rowOff>
              </to>
            </anchor>
          </controlPr>
        </control>
      </mc:Choice>
      <mc:Fallback>
        <control shapeId="4097" r:id="rId6" name="FILTER"/>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N147"/>
  <sheetViews>
    <sheetView workbookViewId="0">
      <selection activeCell="J6" sqref="J6"/>
    </sheetView>
  </sheetViews>
  <sheetFormatPr defaultRowHeight="14.5" outlineLevelRow="3" x14ac:dyDescent="0.35"/>
  <cols>
    <col min="1" max="6" width="3" style="15" customWidth="1"/>
    <col min="7" max="7" width="27.90625" style="15" customWidth="1"/>
    <col min="8" max="8" width="12.36328125" bestFit="1" customWidth="1"/>
    <col min="9" max="9" width="14.08984375" customWidth="1"/>
    <col min="10" max="10" width="11.08984375" customWidth="1"/>
    <col min="11" max="11" width="14.08984375" customWidth="1"/>
    <col min="12" max="12" width="8.6328125" bestFit="1" customWidth="1"/>
    <col min="13" max="13" width="7.6328125" customWidth="1"/>
    <col min="14" max="14" width="2.36328125" customWidth="1"/>
  </cols>
  <sheetData>
    <row r="1" spans="1:14" ht="15" thickBot="1" x14ac:dyDescent="0.4">
      <c r="A1" s="2"/>
      <c r="B1" s="2"/>
      <c r="C1" s="2"/>
      <c r="D1" s="2"/>
      <c r="E1" s="2"/>
      <c r="F1" s="2"/>
      <c r="G1" s="2"/>
      <c r="H1" s="4"/>
      <c r="I1" s="21"/>
      <c r="J1" s="21" t="s">
        <v>143</v>
      </c>
      <c r="K1" s="21" t="s">
        <v>265</v>
      </c>
      <c r="L1" s="5"/>
      <c r="M1" s="5"/>
      <c r="N1" s="1"/>
    </row>
    <row r="2" spans="1:14" s="19" customFormat="1" ht="15.5" thickTop="1" thickBot="1" x14ac:dyDescent="0.4">
      <c r="A2" s="16"/>
      <c r="B2" s="16"/>
      <c r="C2" s="16"/>
      <c r="D2" s="16"/>
      <c r="E2" s="16"/>
      <c r="F2" s="16"/>
      <c r="G2" s="16"/>
      <c r="H2" s="17" t="s">
        <v>141</v>
      </c>
      <c r="I2" s="21" t="s">
        <v>142</v>
      </c>
      <c r="J2" s="22" t="s">
        <v>144</v>
      </c>
      <c r="K2" s="21" t="s">
        <v>266</v>
      </c>
      <c r="L2" s="17" t="s">
        <v>5</v>
      </c>
      <c r="M2" s="17" t="s">
        <v>6</v>
      </c>
      <c r="N2" s="18"/>
    </row>
    <row r="3" spans="1:14" ht="15" thickTop="1" x14ac:dyDescent="0.35">
      <c r="A3" s="2"/>
      <c r="B3" s="2" t="s">
        <v>145</v>
      </c>
      <c r="C3" s="2"/>
      <c r="D3" s="2"/>
      <c r="E3" s="2"/>
      <c r="F3" s="2"/>
      <c r="G3" s="2"/>
      <c r="H3" s="6"/>
      <c r="I3" s="6"/>
      <c r="J3" s="23"/>
      <c r="K3" s="6"/>
      <c r="L3" s="6"/>
      <c r="M3" s="8"/>
      <c r="N3" s="7"/>
    </row>
    <row r="4" spans="1:14" outlineLevel="1" x14ac:dyDescent="0.35">
      <c r="A4" s="2"/>
      <c r="B4" s="2"/>
      <c r="C4" s="2"/>
      <c r="D4" s="2" t="s">
        <v>8</v>
      </c>
      <c r="E4" s="2"/>
      <c r="F4" s="2"/>
      <c r="G4" s="2"/>
      <c r="H4" s="6"/>
      <c r="I4" s="6"/>
      <c r="J4" s="23"/>
      <c r="K4" s="6"/>
      <c r="L4" s="6"/>
      <c r="M4" s="8"/>
      <c r="N4" s="7"/>
    </row>
    <row r="5" spans="1:14" outlineLevel="2" x14ac:dyDescent="0.35">
      <c r="A5" s="2"/>
      <c r="B5" s="2"/>
      <c r="C5" s="2"/>
      <c r="D5" s="2"/>
      <c r="E5" s="2" t="s">
        <v>9</v>
      </c>
      <c r="F5" s="2"/>
      <c r="G5" s="2"/>
      <c r="H5" s="6"/>
      <c r="I5" s="6"/>
      <c r="J5" s="23"/>
      <c r="K5" s="6"/>
      <c r="L5" s="6"/>
      <c r="M5" s="8"/>
      <c r="N5" s="7"/>
    </row>
    <row r="6" spans="1:14" outlineLevel="2" x14ac:dyDescent="0.35">
      <c r="A6" s="2"/>
      <c r="B6" s="2"/>
      <c r="C6" s="2"/>
      <c r="D6" s="2"/>
      <c r="E6" s="2"/>
      <c r="F6" s="2" t="s">
        <v>10</v>
      </c>
      <c r="G6" s="2"/>
      <c r="H6" s="6">
        <v>88625</v>
      </c>
      <c r="I6" s="6">
        <f>'2022 Forecast Worksheet'!AF5</f>
        <v>89054</v>
      </c>
      <c r="J6" s="23">
        <f>I6+H6</f>
        <v>177679</v>
      </c>
      <c r="K6" s="6"/>
      <c r="L6" s="6">
        <v>163000</v>
      </c>
      <c r="M6" s="8">
        <f>J6/L6</f>
        <v>1.0900552147239264</v>
      </c>
      <c r="N6" s="7"/>
    </row>
    <row r="7" spans="1:14" outlineLevel="2" x14ac:dyDescent="0.35">
      <c r="A7" s="2"/>
      <c r="B7" s="2"/>
      <c r="C7" s="2"/>
      <c r="D7" s="2"/>
      <c r="E7" s="2"/>
      <c r="F7" s="2" t="s">
        <v>11</v>
      </c>
      <c r="G7" s="2"/>
      <c r="H7" s="6">
        <v>408</v>
      </c>
      <c r="I7" s="6">
        <f>'2022 Forecast Worksheet'!AF6</f>
        <v>408</v>
      </c>
      <c r="J7" s="23">
        <f>I7+H7</f>
        <v>816</v>
      </c>
      <c r="K7" s="6"/>
      <c r="L7" s="6">
        <v>13000</v>
      </c>
      <c r="M7" s="8">
        <f>J7/L7</f>
        <v>6.2769230769230772E-2</v>
      </c>
      <c r="N7" s="7"/>
    </row>
    <row r="8" spans="1:14" outlineLevel="2" x14ac:dyDescent="0.35">
      <c r="A8" s="2"/>
      <c r="B8" s="2"/>
      <c r="C8" s="2"/>
      <c r="D8" s="2"/>
      <c r="E8" s="2"/>
      <c r="F8" s="2" t="s">
        <v>12</v>
      </c>
      <c r="G8" s="2"/>
      <c r="H8" s="6">
        <v>39616</v>
      </c>
      <c r="I8" s="6">
        <f>'2022 Forecast Worksheet'!AF7</f>
        <v>23676</v>
      </c>
      <c r="J8" s="23">
        <f>I8+H8</f>
        <v>63292</v>
      </c>
      <c r="K8" s="6"/>
      <c r="L8" s="6">
        <v>59000</v>
      </c>
      <c r="M8" s="8">
        <f>J8/L8</f>
        <v>1.0727457627118644</v>
      </c>
      <c r="N8" s="7"/>
    </row>
    <row r="9" spans="1:14" outlineLevel="2" x14ac:dyDescent="0.35">
      <c r="A9" s="2"/>
      <c r="B9" s="2"/>
      <c r="C9" s="2"/>
      <c r="D9" s="2"/>
      <c r="E9" s="2"/>
      <c r="F9" s="2" t="s">
        <v>13</v>
      </c>
      <c r="G9" s="2"/>
      <c r="H9" s="6">
        <v>809</v>
      </c>
      <c r="I9" s="6">
        <f>'2022 Forecast Worksheet'!AF8</f>
        <v>0</v>
      </c>
      <c r="J9" s="23">
        <f>I9+H9</f>
        <v>809</v>
      </c>
      <c r="K9" s="6"/>
      <c r="L9" s="6"/>
      <c r="M9" s="8"/>
      <c r="N9" s="7"/>
    </row>
    <row r="10" spans="1:14" ht="15" outlineLevel="2" thickBot="1" x14ac:dyDescent="0.4">
      <c r="A10" s="2"/>
      <c r="B10" s="2"/>
      <c r="C10" s="2"/>
      <c r="D10" s="2"/>
      <c r="E10" s="2"/>
      <c r="F10" s="2" t="s">
        <v>14</v>
      </c>
      <c r="G10" s="2"/>
      <c r="H10" s="9">
        <v>0</v>
      </c>
      <c r="I10" s="6">
        <f>'2022 Forecast Worksheet'!AF9</f>
        <v>542.77</v>
      </c>
      <c r="J10" s="24">
        <f>I10+H10</f>
        <v>542.77</v>
      </c>
      <c r="K10" s="6"/>
      <c r="L10" s="9"/>
      <c r="M10" s="10"/>
      <c r="N10" s="7"/>
    </row>
    <row r="11" spans="1:14" outlineLevel="1" x14ac:dyDescent="0.35">
      <c r="A11" s="2"/>
      <c r="B11" s="2"/>
      <c r="C11" s="2"/>
      <c r="D11" s="2"/>
      <c r="E11" s="2" t="s">
        <v>15</v>
      </c>
      <c r="F11" s="2"/>
      <c r="G11" s="2"/>
      <c r="H11" s="6">
        <f>ROUND(SUM(H5:H10),5)</f>
        <v>129458</v>
      </c>
      <c r="I11" s="6">
        <f>ROUND(SUM(I5:I10),5)</f>
        <v>113680.77</v>
      </c>
      <c r="J11" s="23">
        <f>ROUND(SUM(J5:J10),5)</f>
        <v>243138.77</v>
      </c>
      <c r="K11" s="6"/>
      <c r="L11" s="6">
        <f>ROUND(SUM(L5:L10),5)</f>
        <v>235000</v>
      </c>
      <c r="M11" s="8">
        <f>J11/L11</f>
        <v>1.0346330638297871</v>
      </c>
      <c r="N11" s="7"/>
    </row>
    <row r="12" spans="1:14" outlineLevel="2" x14ac:dyDescent="0.35">
      <c r="A12" s="2"/>
      <c r="B12" s="2"/>
      <c r="C12" s="2"/>
      <c r="D12" s="2"/>
      <c r="E12" s="2" t="s">
        <v>16</v>
      </c>
      <c r="F12" s="2"/>
      <c r="G12" s="2"/>
      <c r="H12" s="6"/>
      <c r="I12" s="6"/>
      <c r="J12" s="23"/>
      <c r="K12" s="6"/>
      <c r="L12" s="6"/>
      <c r="M12" s="8"/>
      <c r="N12" s="7"/>
    </row>
    <row r="13" spans="1:14" outlineLevel="2" x14ac:dyDescent="0.35">
      <c r="A13" s="2"/>
      <c r="B13" s="2"/>
      <c r="C13" s="2"/>
      <c r="D13" s="2"/>
      <c r="E13" s="2"/>
      <c r="F13" s="2" t="s">
        <v>17</v>
      </c>
      <c r="G13" s="2"/>
      <c r="H13" s="6">
        <v>0</v>
      </c>
      <c r="I13" s="6"/>
      <c r="J13" s="23"/>
      <c r="K13" s="6"/>
      <c r="L13" s="6"/>
      <c r="M13" s="8"/>
      <c r="N13" s="7"/>
    </row>
    <row r="14" spans="1:14" ht="15" outlineLevel="2" thickBot="1" x14ac:dyDescent="0.4">
      <c r="A14" s="2"/>
      <c r="B14" s="2"/>
      <c r="C14" s="2"/>
      <c r="D14" s="2"/>
      <c r="E14" s="2"/>
      <c r="F14" s="2" t="s">
        <v>18</v>
      </c>
      <c r="G14" s="2"/>
      <c r="H14" s="9">
        <v>0</v>
      </c>
      <c r="I14" s="6"/>
      <c r="J14" s="23"/>
      <c r="K14" s="6"/>
      <c r="L14" s="6"/>
      <c r="M14" s="8"/>
      <c r="N14" s="7"/>
    </row>
    <row r="15" spans="1:14" outlineLevel="1" x14ac:dyDescent="0.35">
      <c r="A15" s="2"/>
      <c r="B15" s="2"/>
      <c r="C15" s="2"/>
      <c r="D15" s="2"/>
      <c r="E15" s="2" t="s">
        <v>19</v>
      </c>
      <c r="F15" s="2"/>
      <c r="G15" s="2"/>
      <c r="H15" s="6">
        <f>ROUND(SUM(H12:H14),5)</f>
        <v>0</v>
      </c>
      <c r="I15" s="6"/>
      <c r="J15" s="23"/>
      <c r="K15" s="6"/>
      <c r="L15" s="6"/>
      <c r="M15" s="8"/>
      <c r="N15" s="7"/>
    </row>
    <row r="16" spans="1:14" outlineLevel="2" x14ac:dyDescent="0.35">
      <c r="A16" s="2"/>
      <c r="B16" s="2"/>
      <c r="C16" s="2"/>
      <c r="D16" s="2"/>
      <c r="E16" s="2" t="s">
        <v>20</v>
      </c>
      <c r="F16" s="2"/>
      <c r="G16" s="2"/>
      <c r="H16" s="6"/>
      <c r="I16" s="6"/>
      <c r="J16" s="23"/>
      <c r="K16" s="6"/>
      <c r="L16" s="6"/>
      <c r="M16" s="8"/>
      <c r="N16" s="7"/>
    </row>
    <row r="17" spans="1:14" outlineLevel="2" x14ac:dyDescent="0.35">
      <c r="A17" s="2"/>
      <c r="B17" s="2"/>
      <c r="C17" s="2"/>
      <c r="D17" s="2"/>
      <c r="E17" s="2"/>
      <c r="F17" s="2" t="s">
        <v>21</v>
      </c>
      <c r="G17" s="2"/>
      <c r="H17" s="6">
        <v>0</v>
      </c>
      <c r="I17" s="6"/>
      <c r="J17" s="23"/>
      <c r="K17" s="6"/>
      <c r="L17" s="6"/>
      <c r="M17" s="8"/>
      <c r="N17" s="7"/>
    </row>
    <row r="18" spans="1:14" outlineLevel="2" x14ac:dyDescent="0.35">
      <c r="A18" s="2"/>
      <c r="B18" s="2"/>
      <c r="C18" s="2"/>
      <c r="D18" s="2"/>
      <c r="E18" s="2"/>
      <c r="F18" s="2" t="s">
        <v>22</v>
      </c>
      <c r="G18" s="2"/>
      <c r="H18" s="6">
        <v>0</v>
      </c>
      <c r="I18" s="6"/>
      <c r="J18" s="23"/>
      <c r="K18" s="6"/>
      <c r="L18" s="6"/>
      <c r="M18" s="8"/>
      <c r="N18" s="7"/>
    </row>
    <row r="19" spans="1:14" ht="15" outlineLevel="2" thickBot="1" x14ac:dyDescent="0.4">
      <c r="A19" s="2"/>
      <c r="B19" s="2"/>
      <c r="C19" s="2"/>
      <c r="D19" s="2"/>
      <c r="E19" s="2"/>
      <c r="F19" s="2" t="s">
        <v>23</v>
      </c>
      <c r="G19" s="2"/>
      <c r="H19" s="9">
        <v>0</v>
      </c>
      <c r="I19" s="6"/>
      <c r="J19" s="23"/>
      <c r="K19" s="6"/>
      <c r="L19" s="9">
        <v>0</v>
      </c>
      <c r="M19" s="10"/>
      <c r="N19" s="7"/>
    </row>
    <row r="20" spans="1:14" outlineLevel="1" x14ac:dyDescent="0.35">
      <c r="A20" s="2"/>
      <c r="B20" s="2"/>
      <c r="C20" s="2"/>
      <c r="D20" s="2"/>
      <c r="E20" s="2" t="s">
        <v>24</v>
      </c>
      <c r="F20" s="2"/>
      <c r="G20" s="2"/>
      <c r="H20" s="6">
        <f>ROUND(SUM(H16:H19),5)</f>
        <v>0</v>
      </c>
      <c r="I20" s="6"/>
      <c r="J20" s="23"/>
      <c r="K20" s="6"/>
      <c r="L20" s="6">
        <f>ROUND(SUM(L16:L19),5)</f>
        <v>0</v>
      </c>
      <c r="M20" s="8"/>
      <c r="N20" s="7"/>
    </row>
    <row r="21" spans="1:14" outlineLevel="1" x14ac:dyDescent="0.35">
      <c r="A21" s="2"/>
      <c r="B21" s="2"/>
      <c r="C21" s="2"/>
      <c r="D21" s="2"/>
      <c r="E21" s="2" t="s">
        <v>25</v>
      </c>
      <c r="F21" s="2"/>
      <c r="G21" s="2"/>
      <c r="H21" s="6">
        <v>6153</v>
      </c>
      <c r="I21" s="6">
        <f>'2022 Forecast Worksheet'!AF11</f>
        <v>5109.68</v>
      </c>
      <c r="J21" s="23">
        <f>I21+H21</f>
        <v>11262.68</v>
      </c>
      <c r="K21" s="6"/>
      <c r="L21" s="6">
        <v>10800</v>
      </c>
      <c r="M21" s="8">
        <f>J21/L21</f>
        <v>1.0428407407407407</v>
      </c>
      <c r="N21" s="7"/>
    </row>
    <row r="22" spans="1:14" outlineLevel="2" x14ac:dyDescent="0.35">
      <c r="A22" s="2"/>
      <c r="B22" s="2"/>
      <c r="C22" s="2"/>
      <c r="D22" s="2"/>
      <c r="E22" s="2" t="s">
        <v>26</v>
      </c>
      <c r="F22" s="2"/>
      <c r="G22" s="2"/>
      <c r="H22" s="6"/>
      <c r="I22" s="6">
        <f>'2022 Forecast Worksheet'!AF12</f>
        <v>0</v>
      </c>
      <c r="J22" s="23"/>
      <c r="K22" s="6"/>
      <c r="L22" s="6"/>
      <c r="M22" s="8"/>
      <c r="N22" s="7"/>
    </row>
    <row r="23" spans="1:14" outlineLevel="2" x14ac:dyDescent="0.35">
      <c r="A23" s="2"/>
      <c r="B23" s="2"/>
      <c r="C23" s="2"/>
      <c r="D23" s="2"/>
      <c r="E23" s="2"/>
      <c r="F23" s="2" t="s">
        <v>27</v>
      </c>
      <c r="G23" s="2"/>
      <c r="H23" s="6">
        <v>120</v>
      </c>
      <c r="I23" s="6">
        <f>'2022 Forecast Worksheet'!AF13</f>
        <v>115</v>
      </c>
      <c r="J23" s="23">
        <f>I23+H23</f>
        <v>235</v>
      </c>
      <c r="K23" s="6"/>
      <c r="L23" s="6">
        <v>200</v>
      </c>
      <c r="M23" s="8">
        <f>J23/L23</f>
        <v>1.175</v>
      </c>
      <c r="N23" s="7"/>
    </row>
    <row r="24" spans="1:14" ht="15" outlineLevel="2" thickBot="1" x14ac:dyDescent="0.4">
      <c r="A24" s="2"/>
      <c r="B24" s="2"/>
      <c r="C24" s="2"/>
      <c r="D24" s="2"/>
      <c r="E24" s="2"/>
      <c r="F24" s="2" t="s">
        <v>28</v>
      </c>
      <c r="G24" s="2"/>
      <c r="H24" s="9">
        <v>60</v>
      </c>
      <c r="I24" s="6">
        <f>'2022 Forecast Worksheet'!AF14</f>
        <v>30</v>
      </c>
      <c r="J24" s="23">
        <f>I24+H24</f>
        <v>90</v>
      </c>
      <c r="K24" s="6"/>
      <c r="L24" s="9">
        <v>150</v>
      </c>
      <c r="M24" s="10">
        <f>J24/L24</f>
        <v>0.6</v>
      </c>
      <c r="N24" s="7"/>
    </row>
    <row r="25" spans="1:14" ht="15" outlineLevel="2" thickBot="1" x14ac:dyDescent="0.4">
      <c r="A25" s="2"/>
      <c r="B25" s="2"/>
      <c r="C25" s="2"/>
      <c r="D25" s="2"/>
      <c r="E25" s="2"/>
      <c r="F25" s="2" t="s">
        <v>140</v>
      </c>
      <c r="G25" s="2"/>
      <c r="H25" s="6"/>
      <c r="I25" s="6">
        <f>'2022 Forecast Worksheet'!AF15</f>
        <v>0</v>
      </c>
      <c r="J25" s="24">
        <f>I25+H25</f>
        <v>0</v>
      </c>
      <c r="K25" s="6"/>
      <c r="L25" s="6"/>
      <c r="M25" s="8"/>
      <c r="N25" s="7"/>
    </row>
    <row r="26" spans="1:14" outlineLevel="1" x14ac:dyDescent="0.35">
      <c r="A26" s="2"/>
      <c r="B26" s="2"/>
      <c r="C26" s="2"/>
      <c r="D26" s="2"/>
      <c r="E26" s="2" t="s">
        <v>29</v>
      </c>
      <c r="F26" s="2"/>
      <c r="G26" s="2"/>
      <c r="H26" s="6">
        <f>ROUND(SUM(H22:H24),5)</f>
        <v>180</v>
      </c>
      <c r="I26" s="6">
        <f>ROUND(SUM(I22:I24),5)</f>
        <v>145</v>
      </c>
      <c r="J26" s="23">
        <f>I26+H26</f>
        <v>325</v>
      </c>
      <c r="K26" s="6"/>
      <c r="L26" s="6">
        <f>ROUND(SUM(L22:L24),5)</f>
        <v>350</v>
      </c>
      <c r="M26" s="8">
        <f>J26/L26</f>
        <v>0.9285714285714286</v>
      </c>
      <c r="N26" s="7"/>
    </row>
    <row r="27" spans="1:14" ht="15" outlineLevel="1" thickBot="1" x14ac:dyDescent="0.4">
      <c r="A27" s="2"/>
      <c r="B27" s="2"/>
      <c r="C27" s="2"/>
      <c r="D27" s="2"/>
      <c r="E27" s="2" t="s">
        <v>30</v>
      </c>
      <c r="F27" s="2"/>
      <c r="G27" s="2"/>
      <c r="H27" s="6">
        <v>0</v>
      </c>
      <c r="I27" s="6">
        <v>0</v>
      </c>
      <c r="J27" s="23">
        <f>I27+H27</f>
        <v>0</v>
      </c>
      <c r="K27" s="6"/>
      <c r="L27" s="6"/>
      <c r="M27" s="8"/>
      <c r="N27" s="7"/>
    </row>
    <row r="28" spans="1:14" ht="15" thickBot="1" x14ac:dyDescent="0.4">
      <c r="A28" s="2"/>
      <c r="B28" s="2"/>
      <c r="C28" s="2"/>
      <c r="D28" s="2" t="s">
        <v>31</v>
      </c>
      <c r="E28" s="2"/>
      <c r="F28" s="2"/>
      <c r="G28" s="2"/>
      <c r="H28" s="11">
        <f>ROUND(H4+H11+H15+SUM(H20:H21)+SUM(H26:H27),5)</f>
        <v>135791</v>
      </c>
      <c r="I28" s="11">
        <f>ROUND(I4+I11+I15+SUM(I20:I21)+SUM(I26:I27),5)</f>
        <v>118935.45</v>
      </c>
      <c r="J28" s="11">
        <f>ROUND(J4+J11+J15+SUM(J20:J21)+SUM(J26:J27),5)</f>
        <v>254726.45</v>
      </c>
      <c r="K28" s="11"/>
      <c r="L28" s="11">
        <f>ROUND(L4+L11+L15+SUM(L20:L21)+SUM(L26:L27),5)</f>
        <v>246150</v>
      </c>
      <c r="M28" s="12">
        <f>J28/L28</f>
        <v>1.034842372537071</v>
      </c>
      <c r="N28" s="7"/>
    </row>
    <row r="29" spans="1:14" x14ac:dyDescent="0.35">
      <c r="A29" s="2"/>
      <c r="B29" s="2"/>
      <c r="C29" s="2" t="s">
        <v>32</v>
      </c>
      <c r="D29" s="2"/>
      <c r="E29" s="2"/>
      <c r="F29" s="2"/>
      <c r="G29" s="2"/>
      <c r="H29" s="6">
        <f>H28</f>
        <v>135791</v>
      </c>
      <c r="I29" s="6">
        <f>I28</f>
        <v>118935.45</v>
      </c>
      <c r="J29" s="6">
        <f>J28</f>
        <v>254726.45</v>
      </c>
      <c r="K29" s="6"/>
      <c r="L29" s="6">
        <f>L28</f>
        <v>246150</v>
      </c>
      <c r="M29" s="8">
        <f>J29/L29</f>
        <v>1.034842372537071</v>
      </c>
      <c r="N29" s="7"/>
    </row>
    <row r="30" spans="1:14" outlineLevel="1" x14ac:dyDescent="0.35">
      <c r="A30" s="2"/>
      <c r="B30" s="2"/>
      <c r="C30" s="2"/>
      <c r="D30" s="2" t="s">
        <v>33</v>
      </c>
      <c r="E30" s="2"/>
      <c r="F30" s="2"/>
      <c r="G30" s="2"/>
      <c r="H30" s="6"/>
      <c r="I30" s="6"/>
      <c r="J30" s="23"/>
      <c r="K30" s="6"/>
      <c r="L30" s="6"/>
      <c r="M30" s="8"/>
      <c r="N30" s="7"/>
    </row>
    <row r="31" spans="1:14" outlineLevel="1" x14ac:dyDescent="0.35">
      <c r="A31" s="2"/>
      <c r="B31" s="2"/>
      <c r="C31" s="2"/>
      <c r="D31" s="2"/>
      <c r="E31" s="2" t="s">
        <v>34</v>
      </c>
      <c r="F31" s="2"/>
      <c r="G31" s="2"/>
      <c r="H31" s="6">
        <v>61808</v>
      </c>
      <c r="I31" s="6">
        <f>'2022 Forecast Worksheet'!AF21</f>
        <v>58769</v>
      </c>
      <c r="J31" s="23">
        <f>I31+H31</f>
        <v>120577</v>
      </c>
      <c r="K31" s="6"/>
      <c r="L31" s="6">
        <v>114140</v>
      </c>
      <c r="M31" s="8">
        <f>J31/L31</f>
        <v>1.0563956544594357</v>
      </c>
      <c r="N31" s="7"/>
    </row>
    <row r="32" spans="1:14" outlineLevel="2" x14ac:dyDescent="0.35">
      <c r="A32" s="2"/>
      <c r="B32" s="2"/>
      <c r="C32" s="2"/>
      <c r="D32" s="2"/>
      <c r="E32" s="2" t="s">
        <v>35</v>
      </c>
      <c r="F32" s="2"/>
      <c r="G32" s="2"/>
      <c r="H32" s="6"/>
      <c r="I32" s="6"/>
      <c r="J32" s="23"/>
      <c r="K32" s="6"/>
      <c r="L32" s="6"/>
      <c r="M32" s="8"/>
      <c r="N32" s="7"/>
    </row>
    <row r="33" spans="1:14" outlineLevel="2" x14ac:dyDescent="0.35">
      <c r="A33" s="2"/>
      <c r="B33" s="2"/>
      <c r="C33" s="2"/>
      <c r="D33" s="2"/>
      <c r="E33" s="2"/>
      <c r="F33" s="2" t="s">
        <v>36</v>
      </c>
      <c r="G33" s="2"/>
      <c r="H33" s="6">
        <v>8041</v>
      </c>
      <c r="I33" s="6">
        <f>'2022 Forecast Worksheet'!AF23</f>
        <v>-33</v>
      </c>
      <c r="J33" s="23">
        <f>I33+H33</f>
        <v>8008</v>
      </c>
      <c r="K33" s="6"/>
      <c r="L33" s="6">
        <v>2000</v>
      </c>
      <c r="M33" s="8">
        <f>J33/L33</f>
        <v>4.0039999999999996</v>
      </c>
      <c r="N33" s="7"/>
    </row>
    <row r="34" spans="1:14" outlineLevel="3" x14ac:dyDescent="0.35">
      <c r="A34" s="2"/>
      <c r="B34" s="2"/>
      <c r="C34" s="2"/>
      <c r="D34" s="2"/>
      <c r="E34" s="2"/>
      <c r="F34" s="2" t="s">
        <v>37</v>
      </c>
      <c r="G34" s="2"/>
      <c r="H34" s="6"/>
      <c r="I34" s="6">
        <f>'2022 Forecast Worksheet'!AF24</f>
        <v>0</v>
      </c>
      <c r="J34" s="23"/>
      <c r="K34" s="6"/>
      <c r="L34" s="6"/>
      <c r="M34" s="8"/>
      <c r="N34" s="7"/>
    </row>
    <row r="35" spans="1:14" outlineLevel="3" x14ac:dyDescent="0.35">
      <c r="A35" s="2"/>
      <c r="B35" s="2"/>
      <c r="C35" s="2"/>
      <c r="D35" s="2"/>
      <c r="E35" s="2"/>
      <c r="F35" s="2"/>
      <c r="G35" s="2" t="s">
        <v>38</v>
      </c>
      <c r="H35" s="6">
        <v>2095</v>
      </c>
      <c r="I35" s="6">
        <f>'2022 Forecast Worksheet'!AF25</f>
        <v>0</v>
      </c>
      <c r="J35" s="23">
        <f>I35+H35</f>
        <v>2095</v>
      </c>
      <c r="K35" s="6"/>
      <c r="L35" s="6">
        <v>2500</v>
      </c>
      <c r="M35" s="8">
        <f>J35/L35</f>
        <v>0.83799999999999997</v>
      </c>
      <c r="N35" s="7"/>
    </row>
    <row r="36" spans="1:14" outlineLevel="3" x14ac:dyDescent="0.35">
      <c r="A36" s="2"/>
      <c r="B36" s="2"/>
      <c r="C36" s="2"/>
      <c r="D36" s="2"/>
      <c r="E36" s="2"/>
      <c r="F36" s="2"/>
      <c r="G36" s="2" t="s">
        <v>39</v>
      </c>
      <c r="H36" s="6">
        <v>155.69999999999999</v>
      </c>
      <c r="I36" s="6">
        <f>'2022 Forecast Worksheet'!AF26</f>
        <v>358</v>
      </c>
      <c r="J36" s="23">
        <f>I36+H36</f>
        <v>513.70000000000005</v>
      </c>
      <c r="K36" s="6"/>
      <c r="L36" s="6">
        <v>350</v>
      </c>
      <c r="M36" s="8">
        <f>J36/L36</f>
        <v>1.4677142857142857</v>
      </c>
      <c r="N36" s="7"/>
    </row>
    <row r="37" spans="1:14" ht="15" outlineLevel="3" thickBot="1" x14ac:dyDescent="0.4">
      <c r="A37" s="2"/>
      <c r="B37" s="2"/>
      <c r="C37" s="2"/>
      <c r="D37" s="2"/>
      <c r="E37" s="2"/>
      <c r="F37" s="2"/>
      <c r="G37" s="2" t="s">
        <v>40</v>
      </c>
      <c r="H37" s="9">
        <v>0</v>
      </c>
      <c r="I37" s="6">
        <f>'2022 Forecast Worksheet'!AF27</f>
        <v>0</v>
      </c>
      <c r="J37" s="24">
        <f>I37+H37</f>
        <v>0</v>
      </c>
      <c r="K37" s="6"/>
      <c r="L37" s="9">
        <v>0</v>
      </c>
      <c r="M37" s="10"/>
      <c r="N37" s="7"/>
    </row>
    <row r="38" spans="1:14" outlineLevel="2" x14ac:dyDescent="0.35">
      <c r="A38" s="2"/>
      <c r="B38" s="2"/>
      <c r="C38" s="2"/>
      <c r="D38" s="2"/>
      <c r="E38" s="2"/>
      <c r="F38" s="2" t="s">
        <v>41</v>
      </c>
      <c r="G38" s="2"/>
      <c r="H38" s="6">
        <f>ROUND(SUM(H34:H37),5)</f>
        <v>2250.6999999999998</v>
      </c>
      <c r="I38" s="6">
        <f>ROUND(SUM(I34:I37),5)</f>
        <v>358</v>
      </c>
      <c r="J38" s="23">
        <f>I38+H38</f>
        <v>2608.6999999999998</v>
      </c>
      <c r="K38" s="6"/>
      <c r="L38" s="6">
        <f>ROUND(SUM(L34:L37),5)</f>
        <v>2850</v>
      </c>
      <c r="M38" s="8">
        <f>J38/L38</f>
        <v>0.91533333333333322</v>
      </c>
      <c r="N38" s="7"/>
    </row>
    <row r="39" spans="1:14" outlineLevel="3" x14ac:dyDescent="0.35">
      <c r="A39" s="2"/>
      <c r="B39" s="2"/>
      <c r="C39" s="2"/>
      <c r="D39" s="2"/>
      <c r="E39" s="2"/>
      <c r="F39" s="2" t="s">
        <v>42</v>
      </c>
      <c r="G39" s="2"/>
      <c r="H39" s="6"/>
      <c r="I39" s="6"/>
      <c r="J39" s="23"/>
      <c r="K39" s="6"/>
      <c r="L39" s="6"/>
      <c r="M39" s="8"/>
      <c r="N39" s="7"/>
    </row>
    <row r="40" spans="1:14" outlineLevel="3" x14ac:dyDescent="0.35">
      <c r="A40" s="2"/>
      <c r="B40" s="2"/>
      <c r="C40" s="2"/>
      <c r="D40" s="2"/>
      <c r="E40" s="2"/>
      <c r="F40" s="2"/>
      <c r="G40" s="2" t="s">
        <v>43</v>
      </c>
      <c r="H40" s="6">
        <v>1729</v>
      </c>
      <c r="I40" s="6">
        <f>'2022 Forecast Worksheet'!AF30</f>
        <v>1517.49</v>
      </c>
      <c r="J40" s="23">
        <f t="shared" ref="J40:J45" si="0">I40+H40</f>
        <v>3246.49</v>
      </c>
      <c r="K40" s="6"/>
      <c r="L40" s="6">
        <v>3200</v>
      </c>
      <c r="M40" s="8">
        <f t="shared" ref="M40:M45" si="1">J40/L40</f>
        <v>1.014528125</v>
      </c>
      <c r="N40" s="7"/>
    </row>
    <row r="41" spans="1:14" ht="15" outlineLevel="3" thickBot="1" x14ac:dyDescent="0.4">
      <c r="A41" s="2"/>
      <c r="B41" s="2"/>
      <c r="C41" s="2"/>
      <c r="D41" s="2"/>
      <c r="E41" s="2"/>
      <c r="F41" s="2"/>
      <c r="G41" s="2" t="s">
        <v>44</v>
      </c>
      <c r="H41" s="9">
        <v>2197.4699999999998</v>
      </c>
      <c r="I41" s="6">
        <f>'2022 Forecast Worksheet'!AF31</f>
        <v>2383.4899999999998</v>
      </c>
      <c r="J41" s="24">
        <f t="shared" si="0"/>
        <v>4580.9599999999991</v>
      </c>
      <c r="K41" s="6"/>
      <c r="L41" s="9">
        <v>4000</v>
      </c>
      <c r="M41" s="10">
        <f t="shared" si="1"/>
        <v>1.1452399999999998</v>
      </c>
      <c r="N41" s="7"/>
    </row>
    <row r="42" spans="1:14" outlineLevel="2" x14ac:dyDescent="0.35">
      <c r="A42" s="2"/>
      <c r="B42" s="2"/>
      <c r="C42" s="2"/>
      <c r="D42" s="2"/>
      <c r="E42" s="2"/>
      <c r="F42" s="2" t="s">
        <v>45</v>
      </c>
      <c r="G42" s="2"/>
      <c r="H42" s="6">
        <f>ROUND(SUM(H39:H41),5)</f>
        <v>3926.47</v>
      </c>
      <c r="I42" s="6">
        <f>ROUND(SUM(I39:I41),5)</f>
        <v>3900.98</v>
      </c>
      <c r="J42" s="23">
        <f t="shared" si="0"/>
        <v>7827.45</v>
      </c>
      <c r="K42" s="6"/>
      <c r="L42" s="6">
        <f>ROUND(SUM(L39:L41),5)</f>
        <v>7200</v>
      </c>
      <c r="M42" s="8">
        <f t="shared" si="1"/>
        <v>1.0871458333333333</v>
      </c>
      <c r="N42" s="7"/>
    </row>
    <row r="43" spans="1:14" outlineLevel="2" x14ac:dyDescent="0.35">
      <c r="A43" s="2"/>
      <c r="B43" s="2"/>
      <c r="C43" s="2"/>
      <c r="D43" s="2"/>
      <c r="E43" s="2"/>
      <c r="F43" s="2" t="s">
        <v>46</v>
      </c>
      <c r="G43" s="2"/>
      <c r="H43" s="6">
        <v>11103</v>
      </c>
      <c r="I43" s="6">
        <f>'2022 Forecast Worksheet'!AF33</f>
        <v>100</v>
      </c>
      <c r="J43" s="23">
        <f t="shared" si="0"/>
        <v>11203</v>
      </c>
      <c r="K43" s="6"/>
      <c r="L43" s="6">
        <v>12300</v>
      </c>
      <c r="M43" s="8">
        <f t="shared" si="1"/>
        <v>0.91081300813008126</v>
      </c>
      <c r="N43" s="7"/>
    </row>
    <row r="44" spans="1:14" outlineLevel="2" x14ac:dyDescent="0.35">
      <c r="A44" s="2"/>
      <c r="B44" s="2"/>
      <c r="C44" s="2"/>
      <c r="D44" s="2"/>
      <c r="E44" s="2"/>
      <c r="F44" s="2" t="s">
        <v>47</v>
      </c>
      <c r="G44" s="2"/>
      <c r="H44" s="6">
        <v>840.54</v>
      </c>
      <c r="I44" s="6">
        <f>'2022 Forecast Worksheet'!AF34</f>
        <v>894.62000000000012</v>
      </c>
      <c r="J44" s="23">
        <f t="shared" si="0"/>
        <v>1735.16</v>
      </c>
      <c r="K44" s="6"/>
      <c r="L44" s="6">
        <v>1500</v>
      </c>
      <c r="M44" s="8">
        <f t="shared" si="1"/>
        <v>1.1567733333333334</v>
      </c>
      <c r="N44" s="7"/>
    </row>
    <row r="45" spans="1:14" outlineLevel="2" x14ac:dyDescent="0.35">
      <c r="A45" s="2"/>
      <c r="B45" s="2"/>
      <c r="C45" s="2"/>
      <c r="D45" s="2"/>
      <c r="E45" s="2"/>
      <c r="F45" s="2" t="s">
        <v>48</v>
      </c>
      <c r="G45" s="2"/>
      <c r="H45" s="6">
        <v>1176.48</v>
      </c>
      <c r="I45" s="6">
        <f>'2022 Forecast Worksheet'!AF35</f>
        <v>1842</v>
      </c>
      <c r="J45" s="23">
        <f t="shared" si="0"/>
        <v>3018.48</v>
      </c>
      <c r="K45" s="6"/>
      <c r="L45" s="6">
        <v>3550</v>
      </c>
      <c r="M45" s="8">
        <f t="shared" si="1"/>
        <v>0.85027605633802816</v>
      </c>
      <c r="N45" s="7"/>
    </row>
    <row r="46" spans="1:14" outlineLevel="3" x14ac:dyDescent="0.35">
      <c r="A46" s="2"/>
      <c r="B46" s="2"/>
      <c r="C46" s="2"/>
      <c r="D46" s="2"/>
      <c r="E46" s="2"/>
      <c r="F46" s="2" t="s">
        <v>49</v>
      </c>
      <c r="G46" s="2"/>
      <c r="H46" s="6"/>
      <c r="I46" s="6"/>
      <c r="J46" s="23"/>
      <c r="K46" s="6"/>
      <c r="L46" s="6"/>
      <c r="M46" s="8"/>
      <c r="N46" s="7"/>
    </row>
    <row r="47" spans="1:14" outlineLevel="3" x14ac:dyDescent="0.35">
      <c r="A47" s="2"/>
      <c r="B47" s="2"/>
      <c r="C47" s="2"/>
      <c r="D47" s="2"/>
      <c r="E47" s="2"/>
      <c r="F47" s="2"/>
      <c r="G47" s="2" t="s">
        <v>50</v>
      </c>
      <c r="H47" s="6">
        <v>53</v>
      </c>
      <c r="I47" s="6">
        <v>0</v>
      </c>
      <c r="J47" s="23">
        <f>I47+H47</f>
        <v>53</v>
      </c>
      <c r="K47" s="6"/>
      <c r="L47" s="6"/>
      <c r="M47" s="8"/>
      <c r="N47" s="7"/>
    </row>
    <row r="48" spans="1:14" ht="15" outlineLevel="3" thickBot="1" x14ac:dyDescent="0.4">
      <c r="A48" s="2"/>
      <c r="B48" s="2"/>
      <c r="C48" s="2"/>
      <c r="D48" s="2"/>
      <c r="E48" s="2"/>
      <c r="F48" s="2"/>
      <c r="G48" s="2" t="s">
        <v>51</v>
      </c>
      <c r="H48" s="6">
        <v>0</v>
      </c>
      <c r="I48" s="6">
        <v>620</v>
      </c>
      <c r="J48" s="23">
        <f>I48+H48</f>
        <v>620</v>
      </c>
      <c r="K48" s="6"/>
      <c r="L48" s="6">
        <v>300</v>
      </c>
      <c r="M48" s="8">
        <f>J48/L48</f>
        <v>2.0666666666666669</v>
      </c>
      <c r="N48" s="7"/>
    </row>
    <row r="49" spans="1:14" ht="15" outlineLevel="2" thickBot="1" x14ac:dyDescent="0.4">
      <c r="A49" s="2"/>
      <c r="B49" s="2"/>
      <c r="C49" s="2"/>
      <c r="D49" s="2"/>
      <c r="E49" s="2"/>
      <c r="F49" s="2" t="s">
        <v>52</v>
      </c>
      <c r="G49" s="2"/>
      <c r="H49" s="11">
        <f>ROUND(SUM(H46:H48),5)</f>
        <v>53</v>
      </c>
      <c r="I49" s="11">
        <f>'2022 Forecast Worksheet'!AF38</f>
        <v>400</v>
      </c>
      <c r="J49" s="25">
        <f>I49+H49</f>
        <v>453</v>
      </c>
      <c r="K49" s="11"/>
      <c r="L49" s="11">
        <f>ROUND(SUM(L46:L48),5)</f>
        <v>300</v>
      </c>
      <c r="M49" s="12">
        <f>J49/L49</f>
        <v>1.51</v>
      </c>
      <c r="N49" s="7"/>
    </row>
    <row r="50" spans="1:14" outlineLevel="1" x14ac:dyDescent="0.35">
      <c r="A50" s="2"/>
      <c r="B50" s="2"/>
      <c r="C50" s="2"/>
      <c r="D50" s="2"/>
      <c r="E50" s="2" t="s">
        <v>53</v>
      </c>
      <c r="F50" s="2"/>
      <c r="G50" s="2"/>
      <c r="H50" s="6">
        <f>ROUND(SUM(H32:H33)+H38+SUM(H42:H45)+H49,5)</f>
        <v>27391.19</v>
      </c>
      <c r="I50" s="6">
        <f>ROUND(SUM(I32:I33)+I38+SUM(I42:I45)+I49,5)</f>
        <v>7462.6</v>
      </c>
      <c r="J50" s="23">
        <f>I50+H50</f>
        <v>34853.79</v>
      </c>
      <c r="K50" s="6"/>
      <c r="L50" s="6">
        <f>ROUND(SUM(L32:L33)+L38+SUM(L42:L45)+L49,5)</f>
        <v>29700</v>
      </c>
      <c r="M50" s="8">
        <f>J50/L50</f>
        <v>1.1735282828282829</v>
      </c>
      <c r="N50" s="7"/>
    </row>
    <row r="51" spans="1:14" outlineLevel="2" x14ac:dyDescent="0.35">
      <c r="A51" s="2"/>
      <c r="B51" s="2"/>
      <c r="C51" s="2"/>
      <c r="D51" s="2"/>
      <c r="E51" s="2" t="s">
        <v>54</v>
      </c>
      <c r="F51" s="2"/>
      <c r="G51" s="2"/>
      <c r="H51" s="6"/>
      <c r="I51" s="6"/>
      <c r="J51" s="23"/>
      <c r="K51" s="6"/>
      <c r="L51" s="6"/>
      <c r="M51" s="8"/>
      <c r="N51" s="7"/>
    </row>
    <row r="52" spans="1:14" outlineLevel="2" x14ac:dyDescent="0.35">
      <c r="A52" s="2"/>
      <c r="B52" s="2"/>
      <c r="C52" s="2"/>
      <c r="D52" s="2"/>
      <c r="E52" s="2"/>
      <c r="F52" s="2" t="s">
        <v>55</v>
      </c>
      <c r="G52" s="2"/>
      <c r="H52" s="6">
        <v>0</v>
      </c>
      <c r="I52" s="6">
        <f>'2022 Forecast Worksheet'!AF41</f>
        <v>0</v>
      </c>
      <c r="J52" s="23">
        <f>I52+H52</f>
        <v>0</v>
      </c>
      <c r="K52" s="6"/>
      <c r="L52" s="6">
        <v>7000</v>
      </c>
      <c r="M52" s="8">
        <f>J52/L52</f>
        <v>0</v>
      </c>
      <c r="N52" s="7"/>
    </row>
    <row r="53" spans="1:14" outlineLevel="2" x14ac:dyDescent="0.35">
      <c r="A53" s="2"/>
      <c r="B53" s="2"/>
      <c r="C53" s="2"/>
      <c r="D53" s="2"/>
      <c r="E53" s="2"/>
      <c r="F53" s="2" t="s">
        <v>56</v>
      </c>
      <c r="G53" s="2"/>
      <c r="H53" s="6">
        <v>2066</v>
      </c>
      <c r="I53" s="6">
        <f>'2022 Forecast Worksheet'!AF42</f>
        <v>2147.4899999999998</v>
      </c>
      <c r="J53" s="23">
        <f>I53+H53</f>
        <v>4213.49</v>
      </c>
      <c r="K53" s="6"/>
      <c r="L53" s="6">
        <v>2500</v>
      </c>
      <c r="M53" s="8">
        <f>J53/L53</f>
        <v>1.6853959999999999</v>
      </c>
      <c r="N53" s="7"/>
    </row>
    <row r="54" spans="1:14" outlineLevel="3" x14ac:dyDescent="0.35">
      <c r="A54" s="2"/>
      <c r="B54" s="2"/>
      <c r="C54" s="2"/>
      <c r="D54" s="2"/>
      <c r="E54" s="2"/>
      <c r="F54" s="2" t="s">
        <v>57</v>
      </c>
      <c r="G54" s="2"/>
      <c r="H54" s="6"/>
      <c r="I54" s="6"/>
      <c r="J54" s="23"/>
      <c r="K54" s="6"/>
      <c r="L54" s="6"/>
      <c r="M54" s="8"/>
      <c r="N54" s="7"/>
    </row>
    <row r="55" spans="1:14" outlineLevel="3" x14ac:dyDescent="0.35">
      <c r="A55" s="2"/>
      <c r="B55" s="2"/>
      <c r="C55" s="2"/>
      <c r="D55" s="2"/>
      <c r="E55" s="2"/>
      <c r="F55" s="2"/>
      <c r="G55" s="2" t="s">
        <v>58</v>
      </c>
      <c r="H55" s="6">
        <v>7201.33</v>
      </c>
      <c r="I55" s="6">
        <f>'2022 Forecast Worksheet'!AF44</f>
        <v>7432</v>
      </c>
      <c r="J55" s="23">
        <f>I55+H55</f>
        <v>14633.33</v>
      </c>
      <c r="K55" s="6"/>
      <c r="L55" s="6">
        <v>15000</v>
      </c>
      <c r="M55" s="8">
        <f>J55/L55</f>
        <v>0.97555533333333333</v>
      </c>
      <c r="N55" s="7"/>
    </row>
    <row r="56" spans="1:14" outlineLevel="3" x14ac:dyDescent="0.35">
      <c r="A56" s="2"/>
      <c r="B56" s="2"/>
      <c r="C56" s="2"/>
      <c r="D56" s="2"/>
      <c r="E56" s="2"/>
      <c r="F56" s="2"/>
      <c r="G56" s="2" t="s">
        <v>59</v>
      </c>
      <c r="H56" s="6">
        <v>0</v>
      </c>
      <c r="I56" s="6">
        <f>'2022 Forecast Worksheet'!AF45</f>
        <v>519</v>
      </c>
      <c r="J56" s="23">
        <f>I56+H56</f>
        <v>519</v>
      </c>
      <c r="K56" s="6"/>
      <c r="L56" s="6">
        <v>1000</v>
      </c>
      <c r="M56" s="8">
        <f>J56/L56</f>
        <v>0.51900000000000002</v>
      </c>
      <c r="N56" s="7"/>
    </row>
    <row r="57" spans="1:14" ht="15" outlineLevel="3" thickBot="1" x14ac:dyDescent="0.4">
      <c r="A57" s="2"/>
      <c r="B57" s="2"/>
      <c r="C57" s="2"/>
      <c r="D57" s="2"/>
      <c r="E57" s="2"/>
      <c r="F57" s="2"/>
      <c r="G57" s="2" t="s">
        <v>60</v>
      </c>
      <c r="H57" s="9">
        <f>6*14</f>
        <v>84</v>
      </c>
      <c r="I57" s="6">
        <f>'2022 Forecast Worksheet'!AF46</f>
        <v>84</v>
      </c>
      <c r="J57" s="24">
        <f>I57+H57</f>
        <v>168</v>
      </c>
      <c r="K57" s="6"/>
      <c r="L57" s="9">
        <v>170</v>
      </c>
      <c r="M57" s="10">
        <f>J57/L57</f>
        <v>0.9882352941176471</v>
      </c>
      <c r="N57" s="7"/>
    </row>
    <row r="58" spans="1:14" outlineLevel="2" x14ac:dyDescent="0.35">
      <c r="A58" s="2"/>
      <c r="B58" s="2"/>
      <c r="C58" s="2"/>
      <c r="D58" s="2"/>
      <c r="E58" s="2"/>
      <c r="F58" s="2" t="s">
        <v>61</v>
      </c>
      <c r="G58" s="2"/>
      <c r="H58" s="6">
        <f>ROUND(SUM(H54:H57),5)</f>
        <v>7285.33</v>
      </c>
      <c r="I58" s="6">
        <f>ROUND(SUM(I54:I57),5)</f>
        <v>8035</v>
      </c>
      <c r="J58" s="23">
        <f>I58+H58</f>
        <v>15320.33</v>
      </c>
      <c r="K58" s="6"/>
      <c r="L58" s="6">
        <f>ROUND(SUM(L54:L57),5)</f>
        <v>16170</v>
      </c>
      <c r="M58" s="8">
        <f>J58/L58</f>
        <v>0.94745392702535558</v>
      </c>
      <c r="N58" s="7"/>
    </row>
    <row r="59" spans="1:14" outlineLevel="2" x14ac:dyDescent="0.35">
      <c r="A59" s="2"/>
      <c r="B59" s="2"/>
      <c r="C59" s="2"/>
      <c r="D59" s="2"/>
      <c r="E59" s="2"/>
      <c r="F59" s="2" t="s">
        <v>62</v>
      </c>
      <c r="G59" s="2"/>
      <c r="H59" s="6">
        <v>721.58</v>
      </c>
      <c r="I59" s="6">
        <f>'2022 Forecast Worksheet'!AF48</f>
        <v>850</v>
      </c>
      <c r="J59" s="23">
        <f>I59+H59</f>
        <v>1571.58</v>
      </c>
      <c r="K59" s="6"/>
      <c r="L59" s="6">
        <v>1500</v>
      </c>
      <c r="M59" s="8">
        <f>J59/L59</f>
        <v>1.04772</v>
      </c>
      <c r="N59" s="7"/>
    </row>
    <row r="60" spans="1:14" outlineLevel="3" x14ac:dyDescent="0.35">
      <c r="A60" s="2"/>
      <c r="B60" s="2"/>
      <c r="C60" s="2"/>
      <c r="D60" s="2"/>
      <c r="E60" s="2"/>
      <c r="F60" s="2" t="s">
        <v>63</v>
      </c>
      <c r="G60" s="2"/>
      <c r="H60" s="6"/>
      <c r="I60" s="6">
        <f>'2022 Forecast Worksheet'!AF49</f>
        <v>0</v>
      </c>
      <c r="J60" s="23"/>
      <c r="K60" s="6"/>
      <c r="L60" s="6"/>
      <c r="M60" s="8"/>
      <c r="N60" s="7"/>
    </row>
    <row r="61" spans="1:14" outlineLevel="3" x14ac:dyDescent="0.35">
      <c r="A61" s="2"/>
      <c r="B61" s="2"/>
      <c r="C61" s="2"/>
      <c r="D61" s="2"/>
      <c r="E61" s="2"/>
      <c r="F61" s="2"/>
      <c r="G61" s="2" t="s">
        <v>64</v>
      </c>
      <c r="H61" s="6">
        <v>1495.44</v>
      </c>
      <c r="I61" s="6">
        <f>'2022 Forecast Worksheet'!AF50</f>
        <v>406</v>
      </c>
      <c r="J61" s="23">
        <f t="shared" ref="J61:J66" si="2">I61+H61</f>
        <v>1901.44</v>
      </c>
      <c r="K61" s="6"/>
      <c r="L61" s="6"/>
      <c r="M61" s="8"/>
      <c r="N61" s="7"/>
    </row>
    <row r="62" spans="1:14" ht="15" outlineLevel="3" thickBot="1" x14ac:dyDescent="0.4">
      <c r="A62" s="2"/>
      <c r="B62" s="2"/>
      <c r="C62" s="2"/>
      <c r="D62" s="2"/>
      <c r="E62" s="2"/>
      <c r="F62" s="2"/>
      <c r="G62" s="2" t="s">
        <v>65</v>
      </c>
      <c r="H62" s="9">
        <v>3025.14</v>
      </c>
      <c r="I62" s="6">
        <f>'2022 Forecast Worksheet'!AF51</f>
        <v>2881.87</v>
      </c>
      <c r="J62" s="24">
        <f t="shared" si="2"/>
        <v>5907.01</v>
      </c>
      <c r="K62" s="6"/>
      <c r="L62" s="9">
        <v>6000</v>
      </c>
      <c r="M62" s="10">
        <f>J62/L62</f>
        <v>0.98450166666666672</v>
      </c>
      <c r="N62" s="7"/>
    </row>
    <row r="63" spans="1:14" outlineLevel="2" x14ac:dyDescent="0.35">
      <c r="A63" s="2"/>
      <c r="B63" s="2"/>
      <c r="C63" s="2"/>
      <c r="D63" s="2"/>
      <c r="E63" s="2"/>
      <c r="F63" s="2" t="s">
        <v>66</v>
      </c>
      <c r="G63" s="2"/>
      <c r="H63" s="6">
        <f>ROUND(SUM(H60:H62),5)</f>
        <v>4520.58</v>
      </c>
      <c r="I63" s="6">
        <f>ROUND(SUM(I60:I62),5)</f>
        <v>3287.87</v>
      </c>
      <c r="J63" s="23">
        <f t="shared" si="2"/>
        <v>7808.45</v>
      </c>
      <c r="K63" s="6"/>
      <c r="L63" s="6">
        <f>ROUND(SUM(L60:L62),5)</f>
        <v>6000</v>
      </c>
      <c r="M63" s="8">
        <f>J63/L63</f>
        <v>1.3014083333333333</v>
      </c>
      <c r="N63" s="7"/>
    </row>
    <row r="64" spans="1:14" outlineLevel="2" x14ac:dyDescent="0.35">
      <c r="A64" s="2"/>
      <c r="B64" s="2"/>
      <c r="C64" s="2"/>
      <c r="D64" s="2"/>
      <c r="E64" s="2"/>
      <c r="F64" s="2" t="s">
        <v>67</v>
      </c>
      <c r="G64" s="2"/>
      <c r="H64" s="6">
        <v>9783.26</v>
      </c>
      <c r="I64" s="6">
        <f>'2022 Forecast Worksheet'!AF53</f>
        <v>6533.05</v>
      </c>
      <c r="J64" s="23">
        <f t="shared" si="2"/>
        <v>16316.310000000001</v>
      </c>
      <c r="K64" s="6"/>
      <c r="L64" s="6">
        <v>15000</v>
      </c>
      <c r="M64" s="8">
        <f>J64/L64</f>
        <v>1.0877540000000001</v>
      </c>
      <c r="N64" s="7"/>
    </row>
    <row r="65" spans="1:14" ht="15" outlineLevel="2" thickBot="1" x14ac:dyDescent="0.4">
      <c r="A65" s="2"/>
      <c r="B65" s="2"/>
      <c r="C65" s="2"/>
      <c r="D65" s="2"/>
      <c r="E65" s="2"/>
      <c r="F65" s="2" t="s">
        <v>68</v>
      </c>
      <c r="G65" s="2"/>
      <c r="H65" s="9">
        <v>3683</v>
      </c>
      <c r="I65" s="6">
        <f>'2022 Forecast Worksheet'!AF54</f>
        <v>300</v>
      </c>
      <c r="J65" s="24">
        <f t="shared" si="2"/>
        <v>3983</v>
      </c>
      <c r="K65" s="6"/>
      <c r="L65" s="9">
        <v>4500</v>
      </c>
      <c r="M65" s="10">
        <f>J65/L65</f>
        <v>0.88511111111111107</v>
      </c>
      <c r="N65" s="7"/>
    </row>
    <row r="66" spans="1:14" outlineLevel="1" x14ac:dyDescent="0.35">
      <c r="A66" s="2"/>
      <c r="B66" s="2"/>
      <c r="C66" s="2"/>
      <c r="D66" s="2"/>
      <c r="E66" s="2" t="s">
        <v>69</v>
      </c>
      <c r="F66" s="2"/>
      <c r="G66" s="2"/>
      <c r="H66" s="6">
        <f>ROUND(SUM(H51:H53)+SUM(H58:H59)+SUM(H63:H65),5)</f>
        <v>28059.75</v>
      </c>
      <c r="I66" s="6">
        <f>ROUND(SUM(I51:I53)+SUM(I58:I59)+SUM(I63:I65),5)</f>
        <v>21153.41</v>
      </c>
      <c r="J66" s="23">
        <f t="shared" si="2"/>
        <v>49213.16</v>
      </c>
      <c r="K66" s="6"/>
      <c r="L66" s="6">
        <f>ROUND(SUM(L51:L53)+SUM(L58:L59)+SUM(L63:L65),5)</f>
        <v>52670</v>
      </c>
      <c r="M66" s="8">
        <f>J66/L66</f>
        <v>0.93436795139548134</v>
      </c>
      <c r="N66" s="7"/>
    </row>
    <row r="67" spans="1:14" outlineLevel="2" x14ac:dyDescent="0.35">
      <c r="A67" s="2"/>
      <c r="B67" s="2"/>
      <c r="C67" s="2"/>
      <c r="D67" s="2"/>
      <c r="E67" s="2" t="s">
        <v>70</v>
      </c>
      <c r="F67" s="2"/>
      <c r="G67" s="2"/>
      <c r="H67" s="6"/>
      <c r="I67" s="6"/>
      <c r="J67" s="23"/>
      <c r="K67" s="6"/>
      <c r="L67" s="6"/>
      <c r="M67" s="8"/>
      <c r="N67" s="7"/>
    </row>
    <row r="68" spans="1:14" outlineLevel="2" x14ac:dyDescent="0.35">
      <c r="A68" s="2"/>
      <c r="B68" s="2"/>
      <c r="C68" s="2"/>
      <c r="D68" s="2"/>
      <c r="E68" s="2"/>
      <c r="F68" s="2" t="s">
        <v>71</v>
      </c>
      <c r="G68" s="2"/>
      <c r="H68" s="6">
        <v>1858.33</v>
      </c>
      <c r="I68" s="6">
        <f>'2022 Forecast Worksheet'!AF57</f>
        <v>2000</v>
      </c>
      <c r="J68" s="23">
        <f>I68+H68</f>
        <v>3858.33</v>
      </c>
      <c r="K68" s="6"/>
      <c r="L68" s="6">
        <v>3600</v>
      </c>
      <c r="M68" s="8">
        <f>J68/L68</f>
        <v>1.0717583333333334</v>
      </c>
      <c r="N68" s="7"/>
    </row>
    <row r="69" spans="1:14" outlineLevel="2" x14ac:dyDescent="0.35">
      <c r="A69" s="2"/>
      <c r="B69" s="2"/>
      <c r="C69" s="2"/>
      <c r="D69" s="2"/>
      <c r="E69" s="2"/>
      <c r="F69" s="2" t="s">
        <v>72</v>
      </c>
      <c r="G69" s="2"/>
      <c r="H69" s="6">
        <v>5811.89</v>
      </c>
      <c r="I69" s="6">
        <f>'2022 Forecast Worksheet'!AF58</f>
        <v>3486.1</v>
      </c>
      <c r="J69" s="23">
        <f>I69+H69</f>
        <v>9297.99</v>
      </c>
      <c r="K69" s="6"/>
      <c r="L69" s="6">
        <v>10000</v>
      </c>
      <c r="M69" s="8">
        <f>J69/L69</f>
        <v>0.92979899999999993</v>
      </c>
      <c r="N69" s="7"/>
    </row>
    <row r="70" spans="1:14" outlineLevel="2" x14ac:dyDescent="0.35">
      <c r="A70" s="2"/>
      <c r="B70" s="2"/>
      <c r="C70" s="2"/>
      <c r="D70" s="2"/>
      <c r="E70" s="2"/>
      <c r="F70" s="2" t="s">
        <v>73</v>
      </c>
      <c r="G70" s="2"/>
      <c r="H70" s="6">
        <v>0</v>
      </c>
      <c r="I70" s="6"/>
      <c r="J70" s="23">
        <f>I70+H70</f>
        <v>0</v>
      </c>
      <c r="K70" s="6"/>
      <c r="L70" s="6">
        <v>12000</v>
      </c>
      <c r="M70" s="8">
        <f>J70/L70</f>
        <v>0</v>
      </c>
      <c r="N70" s="7"/>
    </row>
    <row r="71" spans="1:14" ht="15" outlineLevel="2" thickBot="1" x14ac:dyDescent="0.4">
      <c r="A71" s="2"/>
      <c r="B71" s="2"/>
      <c r="C71" s="2"/>
      <c r="D71" s="2"/>
      <c r="E71" s="2"/>
      <c r="F71" s="2" t="s">
        <v>74</v>
      </c>
      <c r="G71" s="2"/>
      <c r="H71" s="9">
        <v>403</v>
      </c>
      <c r="I71" s="6">
        <f>'2022 Forecast Worksheet'!AF59</f>
        <v>737</v>
      </c>
      <c r="J71" s="23">
        <f t="shared" ref="J71:J85" si="3">I71+H71</f>
        <v>1140</v>
      </c>
      <c r="K71" s="6"/>
      <c r="L71" s="9">
        <v>3000</v>
      </c>
      <c r="M71" s="10">
        <f>J71/L71</f>
        <v>0.38</v>
      </c>
      <c r="N71" s="7"/>
    </row>
    <row r="72" spans="1:14" outlineLevel="1" x14ac:dyDescent="0.35">
      <c r="A72" s="2"/>
      <c r="B72" s="2"/>
      <c r="C72" s="2"/>
      <c r="D72" s="2"/>
      <c r="E72" s="2" t="s">
        <v>75</v>
      </c>
      <c r="F72" s="2"/>
      <c r="G72" s="2"/>
      <c r="H72" s="6">
        <f>ROUND(SUM(H67:H71),5)</f>
        <v>8073.22</v>
      </c>
      <c r="I72" s="6">
        <f>ROUND(SUM(I67:I71),5)</f>
        <v>6223.1</v>
      </c>
      <c r="J72" s="26">
        <f t="shared" si="3"/>
        <v>14296.32</v>
      </c>
      <c r="K72" s="6"/>
      <c r="L72" s="6">
        <f>ROUND(SUM(L67:L71),5)</f>
        <v>28600</v>
      </c>
      <c r="M72" s="8">
        <f>J72/L72</f>
        <v>0.49987132867132866</v>
      </c>
      <c r="N72" s="7"/>
    </row>
    <row r="73" spans="1:14" outlineLevel="1" x14ac:dyDescent="0.35">
      <c r="A73" s="2"/>
      <c r="B73" s="2"/>
      <c r="C73" s="2"/>
      <c r="D73" s="2"/>
      <c r="E73" s="2" t="s">
        <v>76</v>
      </c>
      <c r="F73" s="2"/>
      <c r="G73" s="2"/>
      <c r="H73" s="6">
        <v>0</v>
      </c>
      <c r="I73" s="6"/>
      <c r="J73" s="23"/>
      <c r="K73" s="6"/>
      <c r="L73" s="6"/>
      <c r="M73" s="8"/>
      <c r="N73" s="7"/>
    </row>
    <row r="74" spans="1:14" outlineLevel="2" x14ac:dyDescent="0.35">
      <c r="A74" s="2"/>
      <c r="B74" s="2"/>
      <c r="C74" s="2"/>
      <c r="D74" s="2"/>
      <c r="E74" s="2" t="s">
        <v>77</v>
      </c>
      <c r="F74" s="2"/>
      <c r="G74" s="2"/>
      <c r="H74" s="6"/>
      <c r="I74" s="6"/>
      <c r="J74" s="23"/>
      <c r="K74" s="6"/>
      <c r="L74" s="6"/>
      <c r="M74" s="8"/>
      <c r="N74" s="7"/>
    </row>
    <row r="75" spans="1:14" outlineLevel="2" x14ac:dyDescent="0.35">
      <c r="A75" s="2"/>
      <c r="B75" s="2"/>
      <c r="C75" s="2"/>
      <c r="D75" s="2"/>
      <c r="E75" s="2"/>
      <c r="F75" s="2" t="s">
        <v>78</v>
      </c>
      <c r="G75" s="2"/>
      <c r="H75" s="6">
        <v>0</v>
      </c>
      <c r="I75" s="6"/>
      <c r="J75" s="23"/>
      <c r="K75" s="6"/>
      <c r="L75" s="6"/>
      <c r="M75" s="8"/>
      <c r="N75" s="7"/>
    </row>
    <row r="76" spans="1:14" outlineLevel="2" x14ac:dyDescent="0.35">
      <c r="A76" s="2"/>
      <c r="B76" s="2"/>
      <c r="C76" s="2"/>
      <c r="D76" s="2"/>
      <c r="E76" s="2"/>
      <c r="F76" s="2" t="s">
        <v>79</v>
      </c>
      <c r="G76" s="2"/>
      <c r="H76" s="6">
        <v>0</v>
      </c>
      <c r="I76" s="6"/>
      <c r="J76" s="23"/>
      <c r="K76" s="6"/>
      <c r="L76" s="6"/>
      <c r="M76" s="8"/>
      <c r="N76" s="7"/>
    </row>
    <row r="77" spans="1:14" outlineLevel="2" x14ac:dyDescent="0.35">
      <c r="A77" s="2"/>
      <c r="B77" s="2"/>
      <c r="C77" s="2"/>
      <c r="D77" s="2"/>
      <c r="E77" s="2"/>
      <c r="F77" s="2" t="s">
        <v>80</v>
      </c>
      <c r="G77" s="2"/>
      <c r="H77" s="6">
        <v>0</v>
      </c>
      <c r="I77" s="6"/>
      <c r="J77" s="23"/>
      <c r="K77" s="6"/>
      <c r="L77" s="6"/>
      <c r="M77" s="8"/>
      <c r="N77" s="7"/>
    </row>
    <row r="78" spans="1:14" ht="15" outlineLevel="2" thickBot="1" x14ac:dyDescent="0.4">
      <c r="A78" s="2"/>
      <c r="B78" s="2"/>
      <c r="C78" s="2"/>
      <c r="D78" s="2"/>
      <c r="E78" s="2"/>
      <c r="F78" s="2" t="s">
        <v>81</v>
      </c>
      <c r="G78" s="2"/>
      <c r="H78" s="9">
        <v>0</v>
      </c>
      <c r="I78" s="6"/>
      <c r="J78" s="23"/>
      <c r="K78" s="6"/>
      <c r="L78" s="6"/>
      <c r="M78" s="8"/>
      <c r="N78" s="7"/>
    </row>
    <row r="79" spans="1:14" outlineLevel="1" x14ac:dyDescent="0.35">
      <c r="A79" s="2"/>
      <c r="B79" s="2"/>
      <c r="C79" s="2"/>
      <c r="D79" s="2"/>
      <c r="E79" s="2" t="s">
        <v>82</v>
      </c>
      <c r="F79" s="2"/>
      <c r="G79" s="2"/>
      <c r="H79" s="6">
        <f>ROUND(SUM(H74:H78),5)</f>
        <v>0</v>
      </c>
      <c r="I79" s="6"/>
      <c r="J79" s="23"/>
      <c r="K79" s="6"/>
      <c r="L79" s="6"/>
      <c r="M79" s="8"/>
      <c r="N79" s="7"/>
    </row>
    <row r="80" spans="1:14" outlineLevel="1" x14ac:dyDescent="0.35">
      <c r="A80" s="2"/>
      <c r="B80" s="2"/>
      <c r="C80" s="2"/>
      <c r="D80" s="2"/>
      <c r="E80" s="2" t="s">
        <v>83</v>
      </c>
      <c r="F80" s="2"/>
      <c r="G80" s="2"/>
      <c r="H80" s="6">
        <v>0</v>
      </c>
      <c r="I80" s="6"/>
      <c r="J80" s="23"/>
      <c r="K80" s="6"/>
      <c r="L80" s="6"/>
      <c r="M80" s="8"/>
      <c r="N80" s="7"/>
    </row>
    <row r="81" spans="1:14" ht="15" outlineLevel="1" thickBot="1" x14ac:dyDescent="0.4">
      <c r="A81" s="2"/>
      <c r="B81" s="2"/>
      <c r="C81" s="2"/>
      <c r="D81" s="2"/>
      <c r="E81" s="2" t="s">
        <v>84</v>
      </c>
      <c r="F81" s="2"/>
      <c r="G81" s="2"/>
      <c r="H81" s="6">
        <v>0</v>
      </c>
      <c r="I81" s="6"/>
      <c r="J81" s="23"/>
      <c r="K81" s="6"/>
      <c r="L81" s="6"/>
      <c r="M81" s="8"/>
      <c r="N81" s="7"/>
    </row>
    <row r="82" spans="1:14" ht="15" thickBot="1" x14ac:dyDescent="0.4">
      <c r="A82" s="2"/>
      <c r="B82" s="2"/>
      <c r="C82" s="2"/>
      <c r="D82" s="2" t="s">
        <v>85</v>
      </c>
      <c r="E82" s="2"/>
      <c r="F82" s="2"/>
      <c r="G82" s="2"/>
      <c r="H82" s="11">
        <f>ROUND(SUM(H30:H31)+H50+H66+SUM(H72:H73)+SUM(H79:H81),5)</f>
        <v>125332.16</v>
      </c>
      <c r="I82" s="11">
        <f>ROUND(SUM(I30:I31)+I50+I66+SUM(I72:I73)+SUM(I79:I81),5)</f>
        <v>93608.11</v>
      </c>
      <c r="J82" s="25">
        <f t="shared" si="3"/>
        <v>218940.27000000002</v>
      </c>
      <c r="K82" s="11"/>
      <c r="L82" s="11">
        <f>ROUND(SUM(L30:L31)+L50+L66+SUM(L72:L73)+SUM(L79:L81),5)</f>
        <v>225110</v>
      </c>
      <c r="M82" s="12">
        <f>J82/L82</f>
        <v>0.97259237706010404</v>
      </c>
      <c r="N82" s="7"/>
    </row>
    <row r="83" spans="1:14" outlineLevel="1" x14ac:dyDescent="0.35">
      <c r="A83" s="2"/>
      <c r="B83" s="2" t="s">
        <v>86</v>
      </c>
      <c r="C83" s="2"/>
      <c r="D83" s="2"/>
      <c r="E83" s="2"/>
      <c r="F83" s="2"/>
      <c r="G83" s="2"/>
      <c r="H83" s="6">
        <f>ROUND(H3+H29-H82,5)</f>
        <v>10458.84</v>
      </c>
      <c r="I83" s="6">
        <f>ROUND(I3+I29-I82,5)</f>
        <v>25327.34</v>
      </c>
      <c r="J83" s="23">
        <f t="shared" si="3"/>
        <v>35786.18</v>
      </c>
      <c r="K83" s="6"/>
      <c r="L83" s="6">
        <f>ROUND(L3+L29-L82,5)</f>
        <v>21040</v>
      </c>
      <c r="M83" s="8">
        <f>J83/L83</f>
        <v>1.7008640684410647</v>
      </c>
      <c r="N83" s="7"/>
    </row>
    <row r="84" spans="1:14" ht="15" outlineLevel="1" thickBot="1" x14ac:dyDescent="0.4">
      <c r="A84" s="2"/>
      <c r="B84" s="2" t="s">
        <v>87</v>
      </c>
      <c r="C84" s="2"/>
      <c r="D84" s="2"/>
      <c r="E84" s="2"/>
      <c r="F84" s="2"/>
      <c r="G84" s="2"/>
      <c r="H84" s="6">
        <v>-15000</v>
      </c>
      <c r="I84" s="6">
        <v>-15000</v>
      </c>
      <c r="J84" s="23">
        <f t="shared" si="3"/>
        <v>-30000</v>
      </c>
      <c r="K84" s="6"/>
      <c r="L84" s="6">
        <v>-30000</v>
      </c>
      <c r="M84" s="8">
        <f>J84/L84</f>
        <v>1</v>
      </c>
      <c r="N84" s="7"/>
    </row>
    <row r="85" spans="1:14" s="15" customFormat="1" ht="11" thickBot="1" x14ac:dyDescent="0.3">
      <c r="A85" s="2" t="s">
        <v>88</v>
      </c>
      <c r="B85" s="2"/>
      <c r="C85" s="2"/>
      <c r="D85" s="2"/>
      <c r="E85" s="2"/>
      <c r="F85" s="2"/>
      <c r="G85" s="2"/>
      <c r="H85" s="13">
        <f>ROUND(SUM(H83:H84),5)</f>
        <v>-4541.16</v>
      </c>
      <c r="I85" s="13">
        <v>10926.32</v>
      </c>
      <c r="J85" s="27">
        <f t="shared" si="3"/>
        <v>6385.16</v>
      </c>
      <c r="K85" s="13"/>
      <c r="L85" s="13">
        <f>ROUND(SUM(L83:L84),5)</f>
        <v>-8960</v>
      </c>
      <c r="M85" s="14">
        <f>J85/L85</f>
        <v>-0.71262946428571428</v>
      </c>
      <c r="N85" s="2"/>
    </row>
    <row r="86" spans="1:14" ht="15" thickTop="1" x14ac:dyDescent="0.35"/>
    <row r="87" spans="1:14" ht="15" thickBot="1" x14ac:dyDescent="0.4">
      <c r="B87" s="2"/>
      <c r="C87" s="2"/>
      <c r="D87" s="2"/>
      <c r="E87" s="2"/>
      <c r="F87" s="2"/>
      <c r="G87" s="2"/>
      <c r="I87" s="3"/>
      <c r="J87" s="5"/>
      <c r="K87" s="5"/>
      <c r="L87" s="3"/>
      <c r="M87" s="5"/>
    </row>
    <row r="88" spans="1:14" ht="15.5" thickTop="1" thickBot="1" x14ac:dyDescent="0.4">
      <c r="A88" s="28" t="s">
        <v>1</v>
      </c>
      <c r="B88" s="16"/>
      <c r="C88" s="16"/>
      <c r="D88" s="16"/>
      <c r="E88" s="16"/>
      <c r="F88" s="16"/>
      <c r="G88" s="16"/>
      <c r="H88" s="17" t="s">
        <v>4</v>
      </c>
      <c r="I88" s="18"/>
      <c r="J88" s="17" t="s">
        <v>5</v>
      </c>
      <c r="K88" s="18"/>
      <c r="L88" s="18"/>
      <c r="M88" s="17" t="s">
        <v>6</v>
      </c>
    </row>
    <row r="89" spans="1:14" ht="15" thickTop="1" x14ac:dyDescent="0.35">
      <c r="A89" s="2"/>
      <c r="B89" s="2"/>
      <c r="C89" s="2"/>
      <c r="D89" s="2"/>
      <c r="E89" s="2" t="s">
        <v>77</v>
      </c>
      <c r="F89" s="2"/>
      <c r="G89" s="2"/>
      <c r="H89" s="6"/>
      <c r="I89" s="7"/>
      <c r="J89" s="6"/>
      <c r="K89" s="7"/>
      <c r="L89" s="7"/>
      <c r="M89" s="8"/>
    </row>
    <row r="90" spans="1:14" x14ac:dyDescent="0.35">
      <c r="A90" s="2"/>
      <c r="B90" s="2"/>
      <c r="C90" s="2"/>
      <c r="D90" s="2"/>
      <c r="E90" s="2"/>
      <c r="F90" s="2" t="s">
        <v>78</v>
      </c>
      <c r="G90" s="2"/>
      <c r="H90" s="6">
        <v>253.99</v>
      </c>
      <c r="I90" s="7"/>
      <c r="J90" s="6">
        <v>3000</v>
      </c>
      <c r="K90" s="7"/>
      <c r="L90" s="7"/>
      <c r="M90" s="8">
        <f>ROUND(IF(J90=0, IF(H90=0, 0, 1), H90/J90),5)</f>
        <v>8.4659999999999999E-2</v>
      </c>
    </row>
    <row r="91" spans="1:14" x14ac:dyDescent="0.35">
      <c r="A91" s="2"/>
      <c r="B91" s="2"/>
      <c r="C91" s="2"/>
      <c r="D91" s="2"/>
      <c r="E91" s="2"/>
      <c r="F91" s="2" t="s">
        <v>79</v>
      </c>
      <c r="G91" s="2"/>
      <c r="H91" s="6">
        <v>0</v>
      </c>
      <c r="I91" s="7"/>
      <c r="J91" s="6"/>
      <c r="K91" s="7"/>
      <c r="L91" s="7"/>
      <c r="M91" s="8"/>
    </row>
    <row r="92" spans="1:14" x14ac:dyDescent="0.35">
      <c r="A92" s="2"/>
      <c r="B92" s="2"/>
      <c r="C92" s="2"/>
      <c r="D92" s="2"/>
      <c r="E92" s="2"/>
      <c r="F92" s="2" t="s">
        <v>80</v>
      </c>
      <c r="G92" s="2"/>
      <c r="H92" s="6">
        <v>0</v>
      </c>
      <c r="I92" s="7"/>
      <c r="J92" s="6">
        <v>6000</v>
      </c>
      <c r="K92" s="7"/>
      <c r="L92" s="7"/>
      <c r="M92" s="8">
        <f>ROUND(IF(J92=0, IF(H92=0, 0, 1), H92/J92),5)</f>
        <v>0</v>
      </c>
    </row>
    <row r="93" spans="1:14" ht="15" thickBot="1" x14ac:dyDescent="0.4">
      <c r="A93" s="2"/>
      <c r="B93" s="2"/>
      <c r="C93" s="2"/>
      <c r="D93" s="2"/>
      <c r="E93" s="2"/>
      <c r="F93" s="2" t="s">
        <v>81</v>
      </c>
      <c r="G93" s="2"/>
      <c r="H93" s="9">
        <v>0</v>
      </c>
      <c r="I93" s="7"/>
      <c r="J93" s="9">
        <v>12000</v>
      </c>
      <c r="K93" s="7"/>
      <c r="L93" s="7"/>
      <c r="M93" s="10">
        <f>ROUND(IF(J93=0, IF(H93=0, 0, 1), H93/J93),5)</f>
        <v>0</v>
      </c>
    </row>
    <row r="94" spans="1:14" x14ac:dyDescent="0.35">
      <c r="A94" s="2"/>
      <c r="B94" s="2"/>
      <c r="C94" s="2"/>
      <c r="D94" s="2"/>
      <c r="E94" s="2" t="s">
        <v>82</v>
      </c>
      <c r="F94" s="2"/>
      <c r="G94" s="2"/>
      <c r="H94" s="6">
        <f>ROUND(SUM(H89:H93),5)</f>
        <v>253.99</v>
      </c>
      <c r="I94" s="7"/>
      <c r="J94" s="6">
        <f>ROUND(SUM(J89:J93),5)</f>
        <v>21000</v>
      </c>
      <c r="K94" s="7"/>
      <c r="L94" s="7"/>
      <c r="M94" s="8">
        <f>ROUND(IF(J94=0, IF(H94=0, 0, 1), H94/J94),5)</f>
        <v>1.209E-2</v>
      </c>
    </row>
    <row r="95" spans="1:14" x14ac:dyDescent="0.35">
      <c r="A95" s="2"/>
      <c r="B95" s="2"/>
      <c r="C95" s="2"/>
      <c r="D95" s="2"/>
      <c r="E95" s="2" t="s">
        <v>83</v>
      </c>
      <c r="F95" s="2"/>
      <c r="G95" s="2"/>
      <c r="H95" s="6">
        <v>0</v>
      </c>
      <c r="I95" s="7"/>
      <c r="J95" s="6"/>
      <c r="K95" s="7"/>
      <c r="L95" s="7"/>
      <c r="M95" s="8"/>
    </row>
    <row r="96" spans="1:14" ht="15" thickBot="1" x14ac:dyDescent="0.4">
      <c r="A96" s="2"/>
      <c r="B96" s="2"/>
      <c r="C96" s="2"/>
      <c r="D96" s="2"/>
      <c r="E96" s="2" t="s">
        <v>84</v>
      </c>
      <c r="F96" s="2"/>
      <c r="G96" s="2"/>
      <c r="H96" s="6">
        <v>0</v>
      </c>
      <c r="I96" s="7"/>
      <c r="J96" s="6">
        <v>9000</v>
      </c>
      <c r="K96" s="7"/>
      <c r="L96" s="7"/>
      <c r="M96" s="8">
        <f>ROUND(IF(J96=0, IF(H96=0, 0, 1), H96/J96),5)</f>
        <v>0</v>
      </c>
    </row>
    <row r="97" spans="1:13" ht="15" thickBot="1" x14ac:dyDescent="0.4">
      <c r="A97" s="2"/>
      <c r="B97" s="2"/>
      <c r="C97" s="2"/>
      <c r="D97" s="2" t="s">
        <v>85</v>
      </c>
      <c r="E97" s="2"/>
      <c r="F97" s="2"/>
      <c r="G97" s="2"/>
      <c r="H97" s="11">
        <f>SUM(H94:H96)</f>
        <v>253.99</v>
      </c>
      <c r="I97" s="7"/>
      <c r="J97" s="11">
        <f>SUM(J94:J96)</f>
        <v>30000</v>
      </c>
      <c r="K97" s="7"/>
      <c r="L97" s="7"/>
      <c r="M97" s="12">
        <f>ROUND(IF(J97=0, IF(H97=0, 0, 1), H97/J97),5)</f>
        <v>8.4700000000000001E-3</v>
      </c>
    </row>
    <row r="98" spans="1:13" x14ac:dyDescent="0.35">
      <c r="A98" s="2"/>
      <c r="B98" s="2" t="s">
        <v>86</v>
      </c>
      <c r="C98" s="2"/>
      <c r="D98" s="2"/>
      <c r="E98" s="2"/>
      <c r="F98" s="2"/>
      <c r="G98" s="2"/>
      <c r="H98" s="6">
        <f>-H97</f>
        <v>-253.99</v>
      </c>
      <c r="I98" s="7"/>
      <c r="J98" s="6">
        <f>-J97</f>
        <v>-30000</v>
      </c>
      <c r="K98" s="7"/>
      <c r="L98" s="7"/>
      <c r="M98" s="8"/>
    </row>
    <row r="99" spans="1:13" ht="15" thickBot="1" x14ac:dyDescent="0.4">
      <c r="A99" s="2"/>
      <c r="B99" s="2" t="s">
        <v>87</v>
      </c>
      <c r="C99" s="2"/>
      <c r="D99" s="2"/>
      <c r="E99" s="2"/>
      <c r="F99" s="2"/>
      <c r="G99" s="2"/>
      <c r="H99" s="6">
        <v>15000</v>
      </c>
      <c r="I99" s="7"/>
      <c r="J99" s="6">
        <v>30000</v>
      </c>
      <c r="K99" s="7"/>
      <c r="L99" s="7"/>
      <c r="M99" s="8">
        <f>ROUND(IF(J99=0, IF(H99=0, 0, 1), H99/J99),5)</f>
        <v>0.5</v>
      </c>
    </row>
    <row r="100" spans="1:13" ht="15" thickBot="1" x14ac:dyDescent="0.4">
      <c r="A100" s="2" t="s">
        <v>88</v>
      </c>
      <c r="B100" s="2"/>
      <c r="C100" s="2"/>
      <c r="D100" s="2"/>
      <c r="E100" s="2"/>
      <c r="F100" s="2"/>
      <c r="G100" s="2"/>
      <c r="H100" s="13">
        <f>ROUND(SUM(H98:H99),5)</f>
        <v>14746.01</v>
      </c>
      <c r="I100" s="2"/>
      <c r="J100" s="13">
        <f>ROUND(SUM(J98:J99),5)</f>
        <v>0</v>
      </c>
      <c r="K100" s="2"/>
      <c r="L100" s="2"/>
      <c r="M100" s="14">
        <f>ROUND(IF(J100=0, IF(H100=0, 0, 1), H100/J100),5)</f>
        <v>1</v>
      </c>
    </row>
    <row r="101" spans="1:13" ht="15" thickTop="1" x14ac:dyDescent="0.35"/>
    <row r="103" spans="1:13" ht="15" thickBot="1" x14ac:dyDescent="0.4">
      <c r="A103" s="2"/>
      <c r="B103" s="2"/>
      <c r="C103" s="2"/>
      <c r="D103" s="2"/>
      <c r="E103" s="2"/>
      <c r="F103" s="2"/>
      <c r="G103" s="2"/>
      <c r="I103" s="3"/>
      <c r="J103" s="5"/>
      <c r="K103" s="5"/>
      <c r="L103" s="3"/>
      <c r="M103" s="5"/>
    </row>
    <row r="104" spans="1:13" ht="15.5" thickTop="1" thickBot="1" x14ac:dyDescent="0.4">
      <c r="A104" s="16"/>
      <c r="B104" s="16"/>
      <c r="C104" s="16"/>
      <c r="D104" s="16"/>
      <c r="E104" s="16"/>
      <c r="F104" s="16"/>
      <c r="G104" s="16"/>
      <c r="H104" s="17" t="s">
        <v>4</v>
      </c>
      <c r="I104" s="18"/>
      <c r="J104" s="17" t="s">
        <v>5</v>
      </c>
      <c r="K104" s="18"/>
      <c r="L104" s="18"/>
      <c r="M104" s="17" t="s">
        <v>6</v>
      </c>
    </row>
    <row r="105" spans="1:13" ht="15" thickTop="1" x14ac:dyDescent="0.35">
      <c r="A105" s="28" t="s">
        <v>2</v>
      </c>
      <c r="B105" s="2"/>
      <c r="C105" s="2"/>
      <c r="D105" s="2"/>
      <c r="E105" s="2"/>
      <c r="F105" s="2"/>
      <c r="G105" s="2"/>
      <c r="H105" s="6"/>
      <c r="I105" s="7"/>
      <c r="J105" s="6"/>
      <c r="K105" s="7"/>
      <c r="L105" s="7"/>
      <c r="M105" s="8"/>
    </row>
    <row r="106" spans="1:13" x14ac:dyDescent="0.35">
      <c r="A106" s="2"/>
      <c r="B106" s="2"/>
      <c r="C106" s="2"/>
      <c r="D106" s="2" t="s">
        <v>8</v>
      </c>
      <c r="E106" s="2"/>
      <c r="F106" s="2"/>
      <c r="G106" s="2"/>
      <c r="H106" s="6"/>
      <c r="I106" s="7"/>
      <c r="J106" s="6"/>
      <c r="K106" s="7"/>
      <c r="L106" s="7"/>
      <c r="M106" s="8"/>
    </row>
    <row r="107" spans="1:13" x14ac:dyDescent="0.35">
      <c r="A107" s="2"/>
      <c r="B107" s="2"/>
      <c r="C107" s="2"/>
      <c r="D107" s="2"/>
      <c r="E107" s="2" t="s">
        <v>9</v>
      </c>
      <c r="F107" s="2"/>
      <c r="G107" s="2"/>
      <c r="H107" s="6"/>
      <c r="I107" s="7"/>
      <c r="J107" s="6"/>
      <c r="K107" s="7"/>
      <c r="L107" s="7"/>
      <c r="M107" s="8"/>
    </row>
    <row r="108" spans="1:13" x14ac:dyDescent="0.35">
      <c r="A108" s="2"/>
      <c r="B108" s="2"/>
      <c r="C108" s="2"/>
      <c r="D108" s="2"/>
      <c r="E108" s="2"/>
      <c r="F108" s="2" t="s">
        <v>10</v>
      </c>
      <c r="G108" s="2"/>
      <c r="H108" s="6">
        <v>7798</v>
      </c>
      <c r="I108" s="7"/>
      <c r="J108" s="6">
        <v>15000</v>
      </c>
      <c r="K108" s="7"/>
      <c r="L108" s="7"/>
      <c r="M108" s="8">
        <f>ROUND(IF(J108=0, IF(H108=0, 0, 1), H108/J108),5)</f>
        <v>0.51987000000000005</v>
      </c>
    </row>
    <row r="109" spans="1:13" x14ac:dyDescent="0.35">
      <c r="A109" s="2"/>
      <c r="B109" s="2"/>
      <c r="C109" s="2"/>
      <c r="D109" s="2"/>
      <c r="E109" s="2"/>
      <c r="F109" s="2" t="s">
        <v>11</v>
      </c>
      <c r="G109" s="2"/>
      <c r="H109" s="6">
        <v>0</v>
      </c>
      <c r="I109" s="7"/>
      <c r="J109" s="6"/>
      <c r="K109" s="7"/>
      <c r="L109" s="7"/>
      <c r="M109" s="8"/>
    </row>
    <row r="110" spans="1:13" x14ac:dyDescent="0.35">
      <c r="A110" s="2"/>
      <c r="B110" s="2"/>
      <c r="C110" s="2"/>
      <c r="D110" s="2"/>
      <c r="E110" s="2"/>
      <c r="F110" s="2" t="s">
        <v>12</v>
      </c>
      <c r="G110" s="2"/>
      <c r="H110" s="6">
        <v>0</v>
      </c>
      <c r="I110" s="7"/>
      <c r="J110" s="6"/>
      <c r="K110" s="7"/>
      <c r="L110" s="7"/>
      <c r="M110" s="8"/>
    </row>
    <row r="111" spans="1:13" x14ac:dyDescent="0.35">
      <c r="A111" s="2"/>
      <c r="B111" s="2"/>
      <c r="C111" s="2"/>
      <c r="D111" s="2"/>
      <c r="E111" s="2"/>
      <c r="F111" s="2" t="s">
        <v>13</v>
      </c>
      <c r="G111" s="2"/>
      <c r="H111" s="6">
        <v>82.76</v>
      </c>
      <c r="I111" s="7"/>
      <c r="J111" s="6"/>
      <c r="K111" s="7"/>
      <c r="L111" s="7"/>
      <c r="M111" s="8"/>
    </row>
    <row r="112" spans="1:13" ht="15" thickBot="1" x14ac:dyDescent="0.4">
      <c r="A112" s="2"/>
      <c r="B112" s="2"/>
      <c r="C112" s="2"/>
      <c r="D112" s="2"/>
      <c r="E112" s="2"/>
      <c r="F112" s="2" t="s">
        <v>14</v>
      </c>
      <c r="G112" s="2"/>
      <c r="H112" s="9">
        <v>279.04000000000002</v>
      </c>
      <c r="I112" s="7"/>
      <c r="J112" s="9"/>
      <c r="K112" s="7"/>
      <c r="L112" s="7"/>
      <c r="M112" s="10"/>
    </row>
    <row r="113" spans="1:13" x14ac:dyDescent="0.35">
      <c r="A113" s="2"/>
      <c r="B113" s="2"/>
      <c r="C113" s="2"/>
      <c r="D113" s="2"/>
      <c r="E113" s="2" t="s">
        <v>15</v>
      </c>
      <c r="F113" s="2"/>
      <c r="G113" s="2"/>
      <c r="H113" s="6">
        <f>ROUND(SUM(H107:H112),5)</f>
        <v>8159.8</v>
      </c>
      <c r="I113" s="7"/>
      <c r="J113" s="6">
        <f>ROUND(SUM(J107:J112),5)</f>
        <v>15000</v>
      </c>
      <c r="K113" s="7"/>
      <c r="L113" s="7"/>
      <c r="M113" s="8">
        <f>ROUND(IF(J113=0, IF(H113=0, 0, 1), H113/J113),5)</f>
        <v>0.54398999999999997</v>
      </c>
    </row>
    <row r="114" spans="1:13" x14ac:dyDescent="0.35">
      <c r="A114" s="2"/>
      <c r="B114" s="2"/>
      <c r="C114" s="2"/>
      <c r="D114" s="2"/>
      <c r="E114" s="2" t="s">
        <v>16</v>
      </c>
      <c r="F114" s="2"/>
      <c r="G114" s="2"/>
      <c r="H114" s="6"/>
      <c r="I114" s="7"/>
      <c r="J114" s="6"/>
      <c r="K114" s="7"/>
      <c r="L114" s="7"/>
      <c r="M114" s="8"/>
    </row>
    <row r="115" spans="1:13" x14ac:dyDescent="0.35">
      <c r="A115" s="2"/>
      <c r="B115" s="2"/>
      <c r="C115" s="2"/>
      <c r="D115" s="2"/>
      <c r="E115" s="2"/>
      <c r="F115" s="2" t="s">
        <v>17</v>
      </c>
      <c r="G115" s="2"/>
      <c r="H115" s="6">
        <v>84</v>
      </c>
      <c r="I115" s="7"/>
      <c r="J115" s="6">
        <v>65000</v>
      </c>
      <c r="K115" s="7"/>
      <c r="L115" s="7"/>
      <c r="M115" s="8">
        <f>ROUND(IF(J115=0, IF(H115=0, 0, 1), H115/J115),5)</f>
        <v>1.2899999999999999E-3</v>
      </c>
    </row>
    <row r="116" spans="1:13" ht="15" thickBot="1" x14ac:dyDescent="0.4">
      <c r="A116" s="2"/>
      <c r="B116" s="2"/>
      <c r="C116" s="2"/>
      <c r="D116" s="2"/>
      <c r="E116" s="2"/>
      <c r="F116" s="2" t="s">
        <v>18</v>
      </c>
      <c r="G116" s="2"/>
      <c r="H116" s="9">
        <v>39396</v>
      </c>
      <c r="I116" s="7"/>
      <c r="J116" s="9"/>
      <c r="K116" s="7"/>
      <c r="L116" s="7"/>
      <c r="M116" s="10"/>
    </row>
    <row r="117" spans="1:13" x14ac:dyDescent="0.35">
      <c r="A117" s="2"/>
      <c r="B117" s="2"/>
      <c r="C117" s="2"/>
      <c r="D117" s="2"/>
      <c r="E117" s="2" t="s">
        <v>19</v>
      </c>
      <c r="F117" s="2"/>
      <c r="G117" s="2"/>
      <c r="H117" s="6">
        <f>ROUND(SUM(H114:H116),5)</f>
        <v>39480</v>
      </c>
      <c r="I117" s="7"/>
      <c r="J117" s="6">
        <f>ROUND(SUM(J114:J116),5)</f>
        <v>65000</v>
      </c>
      <c r="K117" s="7"/>
      <c r="L117" s="7"/>
      <c r="M117" s="8">
        <f>ROUND(IF(J117=0, IF(H117=0, 0, 1), H117/J117),5)</f>
        <v>0.60738000000000003</v>
      </c>
    </row>
    <row r="118" spans="1:13" x14ac:dyDescent="0.35">
      <c r="A118" s="2"/>
      <c r="B118" s="2"/>
      <c r="C118" s="2"/>
      <c r="D118" s="2"/>
      <c r="E118" s="2" t="s">
        <v>20</v>
      </c>
      <c r="F118" s="2"/>
      <c r="G118" s="2"/>
      <c r="H118" s="6"/>
      <c r="I118" s="7"/>
      <c r="J118" s="6"/>
      <c r="K118" s="7"/>
      <c r="L118" s="7"/>
      <c r="M118" s="8"/>
    </row>
    <row r="119" spans="1:13" x14ac:dyDescent="0.35">
      <c r="A119" s="2"/>
      <c r="B119" s="2"/>
      <c r="C119" s="2"/>
      <c r="D119" s="2"/>
      <c r="E119" s="2"/>
      <c r="F119" s="2" t="s">
        <v>21</v>
      </c>
      <c r="G119" s="2"/>
      <c r="H119" s="6">
        <v>1176</v>
      </c>
      <c r="I119" s="7"/>
      <c r="J119" s="6"/>
      <c r="K119" s="7"/>
      <c r="L119" s="7"/>
      <c r="M119" s="8"/>
    </row>
    <row r="120" spans="1:13" x14ac:dyDescent="0.35">
      <c r="A120" s="2"/>
      <c r="B120" s="2"/>
      <c r="C120" s="2"/>
      <c r="D120" s="2"/>
      <c r="E120" s="2"/>
      <c r="F120" s="2" t="s">
        <v>22</v>
      </c>
      <c r="G120" s="2"/>
      <c r="H120" s="6">
        <v>11936.12</v>
      </c>
      <c r="I120" s="7"/>
      <c r="J120" s="6"/>
      <c r="K120" s="7"/>
      <c r="L120" s="7"/>
      <c r="M120" s="8"/>
    </row>
    <row r="121" spans="1:13" ht="15" thickBot="1" x14ac:dyDescent="0.4">
      <c r="A121" s="2"/>
      <c r="B121" s="2"/>
      <c r="C121" s="2"/>
      <c r="D121" s="2"/>
      <c r="E121" s="2"/>
      <c r="F121" s="2" t="s">
        <v>23</v>
      </c>
      <c r="G121" s="2"/>
      <c r="H121" s="9">
        <v>10280.200000000001</v>
      </c>
      <c r="I121" s="7"/>
      <c r="J121" s="6"/>
      <c r="K121" s="7"/>
      <c r="L121" s="7"/>
      <c r="M121" s="8"/>
    </row>
    <row r="122" spans="1:13" x14ac:dyDescent="0.35">
      <c r="A122" s="2"/>
      <c r="B122" s="2"/>
      <c r="C122" s="2"/>
      <c r="D122" s="2"/>
      <c r="E122" s="2" t="s">
        <v>24</v>
      </c>
      <c r="F122" s="2"/>
      <c r="G122" s="2"/>
      <c r="H122" s="6">
        <f>ROUND(SUM(H118:H121),5)</f>
        <v>23392.32</v>
      </c>
      <c r="I122" s="7"/>
      <c r="J122" s="6"/>
      <c r="K122" s="7"/>
      <c r="L122" s="7"/>
      <c r="M122" s="8"/>
    </row>
    <row r="123" spans="1:13" x14ac:dyDescent="0.35">
      <c r="A123" s="2"/>
      <c r="B123" s="2"/>
      <c r="C123" s="2"/>
      <c r="D123" s="2"/>
      <c r="E123" s="2" t="s">
        <v>25</v>
      </c>
      <c r="F123" s="2"/>
      <c r="G123" s="2"/>
      <c r="H123" s="6">
        <v>0</v>
      </c>
      <c r="I123" s="7"/>
      <c r="J123" s="6"/>
      <c r="K123" s="7"/>
      <c r="L123" s="7"/>
      <c r="M123" s="8"/>
    </row>
    <row r="124" spans="1:13" x14ac:dyDescent="0.35">
      <c r="A124" s="2"/>
      <c r="B124" s="2"/>
      <c r="C124" s="2"/>
      <c r="D124" s="2"/>
      <c r="E124" s="2" t="s">
        <v>26</v>
      </c>
      <c r="F124" s="2"/>
      <c r="G124" s="2"/>
      <c r="H124" s="6"/>
      <c r="I124" s="7"/>
      <c r="J124" s="6"/>
      <c r="K124" s="7"/>
      <c r="L124" s="7"/>
      <c r="M124" s="8"/>
    </row>
    <row r="125" spans="1:13" x14ac:dyDescent="0.35">
      <c r="A125" s="2"/>
      <c r="B125" s="2"/>
      <c r="C125" s="2"/>
      <c r="D125" s="2"/>
      <c r="E125" s="2"/>
      <c r="F125" s="2" t="s">
        <v>27</v>
      </c>
      <c r="G125" s="2"/>
      <c r="H125" s="6">
        <v>0</v>
      </c>
      <c r="I125" s="7"/>
      <c r="J125" s="6"/>
      <c r="K125" s="7"/>
      <c r="L125" s="7"/>
      <c r="M125" s="8"/>
    </row>
    <row r="126" spans="1:13" ht="15" thickBot="1" x14ac:dyDescent="0.4">
      <c r="A126" s="2"/>
      <c r="B126" s="2"/>
      <c r="C126" s="2"/>
      <c r="D126" s="2"/>
      <c r="E126" s="2"/>
      <c r="F126" s="2" t="s">
        <v>28</v>
      </c>
      <c r="G126" s="2"/>
      <c r="H126" s="9">
        <v>0</v>
      </c>
      <c r="I126" s="7"/>
      <c r="J126" s="6"/>
      <c r="K126" s="7"/>
      <c r="L126" s="7"/>
      <c r="M126" s="8"/>
    </row>
    <row r="127" spans="1:13" x14ac:dyDescent="0.35">
      <c r="A127" s="2"/>
      <c r="B127" s="2"/>
      <c r="C127" s="2"/>
      <c r="D127" s="2"/>
      <c r="E127" s="2"/>
      <c r="F127" s="2" t="s">
        <v>140</v>
      </c>
      <c r="G127" s="2"/>
      <c r="H127" s="6"/>
      <c r="I127" s="7"/>
      <c r="J127" s="6"/>
      <c r="K127" s="7"/>
      <c r="L127" s="7"/>
      <c r="M127" s="8"/>
    </row>
    <row r="128" spans="1:13" x14ac:dyDescent="0.35">
      <c r="A128" s="2"/>
      <c r="B128" s="2"/>
      <c r="C128" s="2"/>
      <c r="D128" s="2"/>
      <c r="E128" s="2" t="s">
        <v>29</v>
      </c>
      <c r="F128" s="2"/>
      <c r="G128" s="2"/>
      <c r="H128" s="6">
        <f>ROUND(SUM(H124:H126),5)</f>
        <v>0</v>
      </c>
      <c r="I128" s="7"/>
      <c r="J128" s="6"/>
      <c r="K128" s="7"/>
      <c r="L128" s="7"/>
      <c r="M128" s="8"/>
    </row>
    <row r="129" spans="1:13" ht="15" thickBot="1" x14ac:dyDescent="0.4">
      <c r="A129" s="2"/>
      <c r="B129" s="2"/>
      <c r="C129" s="2"/>
      <c r="D129" s="2"/>
      <c r="E129" s="2" t="s">
        <v>30</v>
      </c>
      <c r="F129" s="2"/>
      <c r="G129" s="2"/>
      <c r="H129" s="6">
        <v>104.21</v>
      </c>
      <c r="I129" s="7"/>
      <c r="J129" s="6"/>
      <c r="K129" s="7"/>
      <c r="L129" s="7"/>
      <c r="M129" s="8"/>
    </row>
    <row r="130" spans="1:13" ht="15" thickBot="1" x14ac:dyDescent="0.4">
      <c r="A130" s="2"/>
      <c r="B130" s="2"/>
      <c r="C130" s="2"/>
      <c r="D130" s="2" t="s">
        <v>31</v>
      </c>
      <c r="E130" s="2"/>
      <c r="F130" s="2"/>
      <c r="G130" s="2"/>
      <c r="H130" s="11">
        <f>ROUND(H106+H113+H117+SUM(H122:H123)+SUM(H128:H129),5)</f>
        <v>71136.33</v>
      </c>
      <c r="I130" s="7"/>
      <c r="J130" s="11">
        <f>ROUND(J106+J113+J117+SUM(J122:J123)+SUM(J128:J129),5)</f>
        <v>80000</v>
      </c>
      <c r="K130" s="7"/>
      <c r="L130" s="7"/>
      <c r="M130" s="12">
        <f>ROUND(IF(J130=0, IF(H130=0, 0, 1), H130/J130),5)</f>
        <v>0.88919999999999999</v>
      </c>
    </row>
    <row r="131" spans="1:13" x14ac:dyDescent="0.35">
      <c r="A131" s="2"/>
      <c r="B131" s="2"/>
      <c r="C131" s="2" t="s">
        <v>32</v>
      </c>
      <c r="D131" s="2"/>
      <c r="E131" s="2"/>
      <c r="F131" s="2"/>
      <c r="G131" s="2"/>
      <c r="H131" s="6">
        <f>H130</f>
        <v>71136.33</v>
      </c>
      <c r="I131" s="7"/>
      <c r="J131" s="6">
        <f>J130</f>
        <v>80000</v>
      </c>
      <c r="K131" s="7"/>
      <c r="L131" s="7"/>
      <c r="M131" s="8">
        <f>ROUND(IF(J131=0, IF(H131=0, 0, 1), H131/J131),5)</f>
        <v>0.88919999999999999</v>
      </c>
    </row>
    <row r="132" spans="1:13" x14ac:dyDescent="0.35">
      <c r="A132" s="2"/>
      <c r="B132" s="2"/>
      <c r="C132" s="2"/>
      <c r="D132" s="2" t="s">
        <v>33</v>
      </c>
      <c r="E132" s="2"/>
      <c r="F132" s="2"/>
      <c r="G132" s="2"/>
      <c r="H132" s="6"/>
      <c r="I132" s="7"/>
      <c r="J132" s="6"/>
      <c r="K132" s="7"/>
      <c r="L132" s="7"/>
      <c r="M132" s="8"/>
    </row>
    <row r="133" spans="1:13" ht="15" thickBot="1" x14ac:dyDescent="0.4">
      <c r="A133" s="2"/>
      <c r="B133" s="2"/>
      <c r="C133" s="2"/>
      <c r="D133" s="2"/>
      <c r="E133" s="2"/>
      <c r="F133" s="2"/>
      <c r="G133" s="2" t="s">
        <v>40</v>
      </c>
      <c r="H133" s="9">
        <v>9772.4</v>
      </c>
      <c r="I133" s="7"/>
      <c r="J133" s="9">
        <v>15000</v>
      </c>
      <c r="K133" s="7"/>
      <c r="L133" s="7"/>
      <c r="M133" s="10">
        <f>ROUND(IF(J133=0, IF(H133=0, 0, 1), H133/J133),5)</f>
        <v>0.65149000000000001</v>
      </c>
    </row>
    <row r="134" spans="1:13" x14ac:dyDescent="0.35">
      <c r="A134" s="2"/>
      <c r="B134" s="2"/>
      <c r="C134" s="2"/>
      <c r="D134" s="2"/>
      <c r="E134" s="2" t="s">
        <v>76</v>
      </c>
      <c r="F134" s="2"/>
      <c r="G134" s="2"/>
      <c r="H134" s="6">
        <v>31719.69</v>
      </c>
      <c r="I134" s="7"/>
      <c r="J134" s="6">
        <v>35000</v>
      </c>
      <c r="K134" s="7"/>
      <c r="L134" s="7"/>
      <c r="M134" s="8">
        <f>ROUND(IF(J134=0, IF(H134=0, 0, 1), H134/J134),5)</f>
        <v>0.90627999999999997</v>
      </c>
    </row>
    <row r="135" spans="1:13" x14ac:dyDescent="0.35">
      <c r="A135" s="2"/>
      <c r="B135" s="2"/>
      <c r="C135" s="2"/>
      <c r="D135" s="2"/>
      <c r="E135" s="2" t="s">
        <v>77</v>
      </c>
      <c r="F135" s="2"/>
      <c r="G135" s="2"/>
      <c r="H135" s="6"/>
      <c r="I135" s="7"/>
      <c r="J135" s="6"/>
      <c r="K135" s="7"/>
      <c r="L135" s="7"/>
      <c r="M135" s="8"/>
    </row>
    <row r="136" spans="1:13" x14ac:dyDescent="0.35">
      <c r="A136" s="2"/>
      <c r="B136" s="2"/>
      <c r="C136" s="2"/>
      <c r="D136" s="2"/>
      <c r="E136" s="2"/>
      <c r="F136" s="2" t="s">
        <v>78</v>
      </c>
      <c r="G136" s="2"/>
      <c r="H136" s="6">
        <v>0</v>
      </c>
      <c r="I136" s="7"/>
      <c r="J136" s="6"/>
      <c r="K136" s="7"/>
      <c r="L136" s="7"/>
      <c r="M136" s="8"/>
    </row>
    <row r="137" spans="1:13" x14ac:dyDescent="0.35">
      <c r="A137" s="2"/>
      <c r="B137" s="2"/>
      <c r="C137" s="2"/>
      <c r="D137" s="2"/>
      <c r="E137" s="2"/>
      <c r="F137" s="2" t="s">
        <v>79</v>
      </c>
      <c r="G137" s="2"/>
      <c r="H137" s="6">
        <v>20864.43</v>
      </c>
      <c r="I137" s="7"/>
      <c r="J137" s="6">
        <v>25000</v>
      </c>
      <c r="K137" s="7"/>
      <c r="L137" s="7"/>
      <c r="M137" s="8">
        <f>ROUND(IF(J137=0, IF(H137=0, 0, 1), H137/J137),5)</f>
        <v>0.83457999999999999</v>
      </c>
    </row>
    <row r="138" spans="1:13" x14ac:dyDescent="0.35">
      <c r="A138" s="2"/>
      <c r="B138" s="2"/>
      <c r="C138" s="2"/>
      <c r="D138" s="2"/>
      <c r="E138" s="2"/>
      <c r="F138" s="2" t="s">
        <v>80</v>
      </c>
      <c r="G138" s="2"/>
      <c r="H138" s="6">
        <v>3675.45</v>
      </c>
      <c r="I138" s="7"/>
      <c r="J138" s="6">
        <v>10000</v>
      </c>
      <c r="K138" s="7"/>
      <c r="L138" s="7"/>
      <c r="M138" s="8">
        <f>ROUND(IF(J138=0, IF(H138=0, 0, 1), H138/J138),5)</f>
        <v>0.36754999999999999</v>
      </c>
    </row>
    <row r="139" spans="1:13" ht="15" thickBot="1" x14ac:dyDescent="0.4">
      <c r="A139" s="2"/>
      <c r="B139" s="2"/>
      <c r="C139" s="2"/>
      <c r="D139" s="2"/>
      <c r="E139" s="2"/>
      <c r="F139" s="2" t="s">
        <v>81</v>
      </c>
      <c r="G139" s="2"/>
      <c r="H139" s="9">
        <v>0</v>
      </c>
      <c r="I139" s="7"/>
      <c r="J139" s="9"/>
      <c r="K139" s="7"/>
      <c r="L139" s="7"/>
      <c r="M139" s="10"/>
    </row>
    <row r="140" spans="1:13" x14ac:dyDescent="0.35">
      <c r="A140" s="2"/>
      <c r="B140" s="2"/>
      <c r="C140" s="2"/>
      <c r="D140" s="2"/>
      <c r="E140" s="2" t="s">
        <v>82</v>
      </c>
      <c r="F140" s="2"/>
      <c r="G140" s="2"/>
      <c r="H140" s="6">
        <f>ROUND(SUM(H135:H139),5)</f>
        <v>24539.88</v>
      </c>
      <c r="I140" s="7"/>
      <c r="J140" s="6">
        <f>ROUND(SUM(J135:J139),5)</f>
        <v>35000</v>
      </c>
      <c r="K140" s="7"/>
      <c r="L140" s="7"/>
      <c r="M140" s="8">
        <f>ROUND(IF(J140=0, IF(H140=0, 0, 1), H140/J140),5)</f>
        <v>0.70113999999999999</v>
      </c>
    </row>
    <row r="141" spans="1:13" x14ac:dyDescent="0.35">
      <c r="A141" s="2"/>
      <c r="B141" s="2"/>
      <c r="C141" s="2"/>
      <c r="D141" s="2"/>
      <c r="E141" s="2" t="s">
        <v>83</v>
      </c>
      <c r="F141" s="2"/>
      <c r="G141" s="2"/>
      <c r="H141" s="6">
        <v>16292.03</v>
      </c>
      <c r="I141" s="7"/>
      <c r="J141" s="6"/>
      <c r="K141" s="7"/>
      <c r="L141" s="7"/>
      <c r="M141" s="8"/>
    </row>
    <row r="142" spans="1:13" ht="15" thickBot="1" x14ac:dyDescent="0.4">
      <c r="A142" s="2"/>
      <c r="B142" s="2"/>
      <c r="C142" s="2"/>
      <c r="D142" s="2"/>
      <c r="E142" s="2" t="s">
        <v>84</v>
      </c>
      <c r="F142" s="2"/>
      <c r="G142" s="2"/>
      <c r="H142" s="6">
        <v>0</v>
      </c>
      <c r="I142" s="7"/>
      <c r="J142" s="6">
        <v>3000</v>
      </c>
      <c r="K142" s="7"/>
      <c r="L142" s="7"/>
      <c r="M142" s="8">
        <f>ROUND(IF(J142=0, IF(H142=0, 0, 1), H142/J142),5)</f>
        <v>0</v>
      </c>
    </row>
    <row r="143" spans="1:13" ht="15" thickBot="1" x14ac:dyDescent="0.4">
      <c r="A143" s="2"/>
      <c r="B143" s="2"/>
      <c r="C143" s="2"/>
      <c r="D143" s="2" t="s">
        <v>85</v>
      </c>
      <c r="E143" s="2"/>
      <c r="F143" s="2"/>
      <c r="G143" s="2"/>
      <c r="H143" s="11">
        <f>H133+H134+H140+H141+H142</f>
        <v>82324</v>
      </c>
      <c r="I143" s="7"/>
      <c r="J143" s="11">
        <f>J133+J134+J140+J141+J142</f>
        <v>88000</v>
      </c>
      <c r="K143" s="7"/>
      <c r="L143" s="7"/>
      <c r="M143" s="12">
        <f>ROUND(IF(J143=0, IF(H143=0, 0, 1), H143/J143),5)</f>
        <v>0.9355</v>
      </c>
    </row>
    <row r="144" spans="1:13" x14ac:dyDescent="0.35">
      <c r="A144" s="2"/>
      <c r="B144" s="2" t="s">
        <v>86</v>
      </c>
      <c r="C144" s="2"/>
      <c r="D144" s="2"/>
      <c r="E144" s="2"/>
      <c r="F144" s="2"/>
      <c r="G144" s="2"/>
      <c r="H144" s="6">
        <f>ROUND(H105+H131-H143,5)</f>
        <v>-11187.67</v>
      </c>
      <c r="I144" s="7"/>
      <c r="J144" s="6">
        <f>ROUND(J105+J131-J143,5)</f>
        <v>-8000</v>
      </c>
      <c r="K144" s="7"/>
      <c r="L144" s="7"/>
      <c r="M144" s="8">
        <f>ROUND(IF(J144=0, IF(H144=0, 0, 1), H144/J144),5)</f>
        <v>1.39846</v>
      </c>
    </row>
    <row r="145" spans="1:13" ht="15" thickBot="1" x14ac:dyDescent="0.4">
      <c r="A145" s="2"/>
      <c r="B145" s="2" t="s">
        <v>87</v>
      </c>
      <c r="C145" s="2"/>
      <c r="D145" s="2"/>
      <c r="E145" s="2"/>
      <c r="F145" s="2"/>
      <c r="G145" s="2"/>
      <c r="H145" s="6">
        <v>0</v>
      </c>
      <c r="I145" s="7"/>
      <c r="J145" s="6"/>
      <c r="K145" s="7"/>
      <c r="L145" s="7"/>
      <c r="M145" s="8"/>
    </row>
    <row r="146" spans="1:13" ht="15" thickBot="1" x14ac:dyDescent="0.4">
      <c r="A146" s="2" t="s">
        <v>88</v>
      </c>
      <c r="B146" s="2"/>
      <c r="C146" s="2"/>
      <c r="D146" s="2"/>
      <c r="E146" s="2"/>
      <c r="F146" s="2"/>
      <c r="G146" s="2"/>
      <c r="H146" s="13">
        <f>ROUND(SUM(H144:H145),5)</f>
        <v>-11187.67</v>
      </c>
      <c r="I146" s="2"/>
      <c r="J146" s="13">
        <f>ROUND(SUM(J144:J145),5)</f>
        <v>-8000</v>
      </c>
      <c r="K146" s="2"/>
      <c r="L146" s="2"/>
      <c r="M146" s="14">
        <f>ROUND(IF(J146=0, IF(H146=0, 0, 1), H146/J146),5)</f>
        <v>1.39846</v>
      </c>
    </row>
    <row r="147" spans="1:13" ht="15" thickTop="1" x14ac:dyDescent="0.35"/>
  </sheetData>
  <pageMargins left="0.7" right="0.7" top="0.75" bottom="0.75" header="0.1" footer="0.3"/>
  <pageSetup orientation="portrait" r:id="rId1"/>
  <headerFooter>
    <oddHeader>&amp;L&amp;"Arial,Bold"&amp;8 01/25/22&amp;C&amp;"Arial,Bold"&amp;12 Dockton Water Association
&amp;"Arial,Bold"&amp;14 Budget vs Actual by Class
&amp;"Arial,Bold"&amp;10 July 2021 through June 2022</oddHeader>
  </headerFooter>
  <drawing r:id="rId2"/>
  <legacyDrawing r:id="rId3"/>
  <controls>
    <mc:AlternateContent xmlns:mc="http://schemas.openxmlformats.org/markup-compatibility/2006">
      <mc:Choice Requires="x14">
        <control shapeId="45057" r:id="rId4" name="FILTER">
          <controlPr defaultSize="0" autoLine="0" r:id="rId5">
            <anchor moveWithCells="1">
              <from>
                <xdr:col>0</xdr:col>
                <xdr:colOff>0</xdr:colOff>
                <xdr:row>0</xdr:row>
                <xdr:rowOff>0</xdr:rowOff>
              </from>
              <to>
                <xdr:col>4</xdr:col>
                <xdr:colOff>76200</xdr:colOff>
                <xdr:row>1</xdr:row>
                <xdr:rowOff>38100</xdr:rowOff>
              </to>
            </anchor>
          </controlPr>
        </control>
      </mc:Choice>
      <mc:Fallback>
        <control shapeId="45057" r:id="rId4" name="FILTER"/>
      </mc:Fallback>
    </mc:AlternateContent>
    <mc:AlternateContent xmlns:mc="http://schemas.openxmlformats.org/markup-compatibility/2006">
      <mc:Choice Requires="x14">
        <control shapeId="45058" r:id="rId6" name="HEADER">
          <controlPr defaultSize="0" autoLine="0" r:id="rId7">
            <anchor moveWithCells="1">
              <from>
                <xdr:col>0</xdr:col>
                <xdr:colOff>0</xdr:colOff>
                <xdr:row>0</xdr:row>
                <xdr:rowOff>0</xdr:rowOff>
              </from>
              <to>
                <xdr:col>4</xdr:col>
                <xdr:colOff>76200</xdr:colOff>
                <xdr:row>1</xdr:row>
                <xdr:rowOff>38100</xdr:rowOff>
              </to>
            </anchor>
          </controlPr>
        </control>
      </mc:Choice>
      <mc:Fallback>
        <control shapeId="45058" r:id="rId6" name="HEADER"/>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BD65"/>
  <sheetViews>
    <sheetView topLeftCell="K1" workbookViewId="0"/>
  </sheetViews>
  <sheetFormatPr defaultRowHeight="14.5" outlineLevelRow="3" x14ac:dyDescent="0.35"/>
  <cols>
    <col min="1" max="6" width="3" style="15" customWidth="1"/>
    <col min="7" max="7" width="27.90625" style="15" customWidth="1"/>
    <col min="8" max="9" width="6.08984375" customWidth="1"/>
    <col min="10" max="10" width="6.90625" customWidth="1"/>
    <col min="11" max="32" width="6.08984375" customWidth="1"/>
    <col min="34" max="36" width="7.90625" customWidth="1"/>
    <col min="38" max="40" width="7.90625" customWidth="1"/>
    <col min="42" max="44" width="7.90625" bestFit="1" customWidth="1"/>
    <col min="46" max="48" width="7.90625" customWidth="1"/>
    <col min="50" max="52" width="7.90625" customWidth="1"/>
    <col min="54" max="56" width="7.90625" customWidth="1"/>
  </cols>
  <sheetData>
    <row r="1" spans="1:56" s="19" customFormat="1" ht="15" thickBot="1" x14ac:dyDescent="0.4">
      <c r="A1" s="16"/>
      <c r="B1" s="16"/>
      <c r="C1" s="16"/>
      <c r="D1" s="16"/>
      <c r="E1" s="16"/>
      <c r="F1" s="16"/>
      <c r="G1" s="16"/>
      <c r="H1" s="21" t="s">
        <v>133</v>
      </c>
      <c r="I1" s="21" t="s">
        <v>114</v>
      </c>
      <c r="J1" s="21" t="s">
        <v>113</v>
      </c>
      <c r="K1" s="18"/>
      <c r="L1" s="21" t="s">
        <v>134</v>
      </c>
      <c r="M1" s="21" t="s">
        <v>116</v>
      </c>
      <c r="N1" s="21" t="s">
        <v>115</v>
      </c>
      <c r="O1" s="18"/>
      <c r="P1" s="21" t="s">
        <v>135</v>
      </c>
      <c r="Q1" s="21" t="s">
        <v>118</v>
      </c>
      <c r="R1" s="21" t="s">
        <v>117</v>
      </c>
      <c r="S1" s="18"/>
      <c r="T1" s="21" t="s">
        <v>136</v>
      </c>
      <c r="U1" s="21" t="s">
        <v>120</v>
      </c>
      <c r="V1" s="21" t="s">
        <v>119</v>
      </c>
      <c r="W1" s="18"/>
      <c r="X1" s="21" t="s">
        <v>137</v>
      </c>
      <c r="Y1" s="21" t="s">
        <v>122</v>
      </c>
      <c r="Z1" s="21" t="s">
        <v>121</v>
      </c>
      <c r="AA1" s="18"/>
      <c r="AB1" s="21" t="s">
        <v>138</v>
      </c>
      <c r="AC1" s="21" t="s">
        <v>124</v>
      </c>
      <c r="AD1" s="21" t="s">
        <v>123</v>
      </c>
      <c r="AE1" s="16"/>
      <c r="AF1" s="21" t="s">
        <v>139</v>
      </c>
      <c r="AH1" s="21" t="s">
        <v>127</v>
      </c>
      <c r="AI1" s="21" t="s">
        <v>102</v>
      </c>
      <c r="AJ1" s="21" t="s">
        <v>101</v>
      </c>
      <c r="AL1" s="21" t="s">
        <v>128</v>
      </c>
      <c r="AM1" s="21" t="s">
        <v>104</v>
      </c>
      <c r="AN1" s="21" t="s">
        <v>103</v>
      </c>
      <c r="AP1" s="21" t="s">
        <v>129</v>
      </c>
      <c r="AQ1" s="21" t="s">
        <v>106</v>
      </c>
      <c r="AR1" s="21" t="s">
        <v>105</v>
      </c>
      <c r="AT1" s="21" t="s">
        <v>130</v>
      </c>
      <c r="AU1" s="21" t="s">
        <v>108</v>
      </c>
      <c r="AV1" s="21" t="s">
        <v>107</v>
      </c>
      <c r="AX1" s="21" t="s">
        <v>131</v>
      </c>
      <c r="AY1" s="21" t="s">
        <v>110</v>
      </c>
      <c r="AZ1" s="21" t="s">
        <v>109</v>
      </c>
      <c r="BB1" s="21" t="s">
        <v>132</v>
      </c>
      <c r="BC1" s="21" t="s">
        <v>112</v>
      </c>
      <c r="BD1" s="21" t="s">
        <v>111</v>
      </c>
    </row>
    <row r="2" spans="1:56" ht="15" thickTop="1" x14ac:dyDescent="0.35">
      <c r="A2" s="2"/>
      <c r="B2" s="2" t="s">
        <v>7</v>
      </c>
      <c r="C2" s="2"/>
      <c r="D2" s="2"/>
      <c r="E2" s="2"/>
      <c r="F2" s="2"/>
      <c r="G2" s="2"/>
      <c r="H2" s="6"/>
      <c r="I2" s="6"/>
      <c r="J2" s="6" t="s">
        <v>174</v>
      </c>
      <c r="K2" s="7"/>
      <c r="L2" s="6"/>
      <c r="M2" s="6"/>
      <c r="N2" s="6" t="s">
        <v>174</v>
      </c>
      <c r="O2" s="7"/>
      <c r="P2" s="6"/>
      <c r="Q2" s="6"/>
      <c r="R2" s="6" t="str">
        <f>N2</f>
        <v>ACTUAL</v>
      </c>
      <c r="S2" s="7"/>
      <c r="T2" s="6"/>
      <c r="U2" s="6"/>
      <c r="V2" s="6" t="s">
        <v>175</v>
      </c>
      <c r="W2" s="7"/>
      <c r="X2" s="6"/>
      <c r="Y2" s="6"/>
      <c r="Z2" s="6" t="s">
        <v>175</v>
      </c>
      <c r="AA2" s="7"/>
      <c r="AB2" s="6"/>
      <c r="AC2" s="6"/>
      <c r="AD2" s="6" t="s">
        <v>175</v>
      </c>
      <c r="AE2" s="6"/>
      <c r="AF2" s="6"/>
      <c r="AH2" s="6"/>
      <c r="AI2" s="6"/>
      <c r="AJ2" s="6"/>
      <c r="AL2" s="6"/>
      <c r="AM2" s="6"/>
      <c r="AN2" s="6"/>
      <c r="AP2" s="6"/>
      <c r="AQ2" s="6"/>
      <c r="AR2" s="6"/>
      <c r="AT2" s="6"/>
      <c r="AU2" s="6"/>
      <c r="AV2" s="6"/>
      <c r="AX2" s="6"/>
      <c r="AY2" s="6"/>
      <c r="AZ2" s="6"/>
      <c r="BB2" s="6"/>
      <c r="BC2" s="6"/>
      <c r="BD2" s="6"/>
    </row>
    <row r="3" spans="1:56" outlineLevel="1" x14ac:dyDescent="0.35">
      <c r="A3" s="2"/>
      <c r="B3" s="2"/>
      <c r="C3" s="2"/>
      <c r="D3" s="2" t="s">
        <v>8</v>
      </c>
      <c r="E3" s="2"/>
      <c r="F3" s="2"/>
      <c r="G3" s="2"/>
      <c r="H3" s="6"/>
      <c r="I3" s="6"/>
      <c r="J3" s="6"/>
      <c r="K3" s="7"/>
      <c r="L3" s="6"/>
      <c r="M3" s="6"/>
      <c r="N3" s="6"/>
      <c r="O3" s="7"/>
      <c r="P3" s="6"/>
      <c r="Q3" s="6"/>
      <c r="R3" s="6"/>
      <c r="S3" s="7"/>
      <c r="T3" s="6"/>
      <c r="U3" s="6"/>
      <c r="V3" s="6"/>
      <c r="W3" s="7"/>
      <c r="X3" s="6"/>
      <c r="Y3" s="6"/>
      <c r="Z3" s="6"/>
      <c r="AA3" s="7"/>
      <c r="AB3" s="6"/>
      <c r="AC3" s="6"/>
      <c r="AD3" s="6"/>
      <c r="AE3" s="6"/>
      <c r="AF3" s="6"/>
      <c r="AH3" s="6"/>
      <c r="AI3" s="6"/>
      <c r="AJ3" s="6"/>
      <c r="AL3" s="6"/>
      <c r="AM3" s="6"/>
      <c r="AN3" s="6"/>
      <c r="AP3" s="6"/>
      <c r="AQ3" s="6"/>
      <c r="AR3" s="6"/>
      <c r="AT3" s="6"/>
      <c r="AU3" s="6"/>
      <c r="AV3" s="6"/>
      <c r="AX3" s="6"/>
      <c r="AY3" s="6"/>
      <c r="AZ3" s="6"/>
      <c r="BB3" s="6"/>
      <c r="BC3" s="6"/>
      <c r="BD3" s="6"/>
    </row>
    <row r="4" spans="1:56" outlineLevel="2" x14ac:dyDescent="0.35">
      <c r="A4" s="2"/>
      <c r="B4" s="2"/>
      <c r="C4" s="2"/>
      <c r="D4" s="2"/>
      <c r="E4" s="2" t="s">
        <v>9</v>
      </c>
      <c r="F4" s="2"/>
      <c r="G4" s="2"/>
      <c r="H4" s="6"/>
      <c r="I4" s="6"/>
      <c r="J4" s="6"/>
      <c r="K4" s="7"/>
      <c r="L4" s="6"/>
      <c r="M4" s="6"/>
      <c r="N4" s="6"/>
      <c r="O4" s="7"/>
      <c r="P4" s="6"/>
      <c r="Q4" s="6"/>
      <c r="R4" s="6"/>
      <c r="S4" s="7"/>
      <c r="T4" s="6"/>
      <c r="U4" s="6"/>
      <c r="V4" s="6"/>
      <c r="W4" s="7"/>
      <c r="X4" s="6"/>
      <c r="Y4" s="6"/>
      <c r="Z4" s="6"/>
      <c r="AA4" s="7"/>
      <c r="AB4" s="6"/>
      <c r="AC4" s="6"/>
      <c r="AD4" s="6"/>
      <c r="AE4" s="6"/>
      <c r="AF4" s="6"/>
      <c r="AH4" s="6"/>
      <c r="AI4" s="6"/>
      <c r="AJ4" s="6"/>
      <c r="AL4" s="6"/>
      <c r="AM4" s="6"/>
      <c r="AN4" s="6"/>
      <c r="AP4" s="6"/>
      <c r="AQ4" s="6"/>
      <c r="AR4" s="6"/>
      <c r="AT4" s="6"/>
      <c r="AU4" s="6"/>
      <c r="AV4" s="6"/>
      <c r="AX4" s="6"/>
      <c r="AY4" s="6"/>
      <c r="AZ4" s="6"/>
      <c r="BB4" s="6"/>
      <c r="BC4" s="6"/>
      <c r="BD4" s="6"/>
    </row>
    <row r="5" spans="1:56" outlineLevel="2" x14ac:dyDescent="0.35">
      <c r="A5" s="2"/>
      <c r="B5" s="2"/>
      <c r="C5" s="2"/>
      <c r="D5" s="2"/>
      <c r="E5" s="2"/>
      <c r="F5" s="2" t="s">
        <v>10</v>
      </c>
      <c r="G5" s="2"/>
      <c r="H5" s="103">
        <v>13347.64</v>
      </c>
      <c r="I5" s="103">
        <v>13564.35</v>
      </c>
      <c r="J5" s="103">
        <v>14873</v>
      </c>
      <c r="K5" s="103"/>
      <c r="L5" s="103">
        <v>14438.43</v>
      </c>
      <c r="M5" s="103">
        <v>13595.39</v>
      </c>
      <c r="N5" s="103">
        <v>14621</v>
      </c>
      <c r="O5" s="103"/>
      <c r="P5" s="103">
        <v>13545.03</v>
      </c>
      <c r="Q5" s="103">
        <v>13600</v>
      </c>
      <c r="R5" s="103">
        <v>14890</v>
      </c>
      <c r="S5" s="103"/>
      <c r="T5" s="103">
        <v>13442.64</v>
      </c>
      <c r="U5" s="103">
        <v>13570.57</v>
      </c>
      <c r="V5" s="103">
        <f>R5</f>
        <v>14890</v>
      </c>
      <c r="W5" s="103"/>
      <c r="X5" s="103">
        <v>13493.99</v>
      </c>
      <c r="Y5" s="103">
        <v>13600</v>
      </c>
      <c r="Z5" s="103">
        <f>V5</f>
        <v>14890</v>
      </c>
      <c r="AA5" s="103"/>
      <c r="AB5" s="103">
        <v>13547</v>
      </c>
      <c r="AC5" s="103">
        <v>13599.19</v>
      </c>
      <c r="AD5" s="103">
        <f>Z5</f>
        <v>14890</v>
      </c>
      <c r="AE5" s="103"/>
      <c r="AF5" s="103">
        <f>AD5+Z5+V5+R5+N5+J5</f>
        <v>89054</v>
      </c>
      <c r="AH5" s="6">
        <v>13439.76</v>
      </c>
      <c r="AI5" s="6">
        <v>13484.29</v>
      </c>
      <c r="AJ5" s="6">
        <v>14752.13</v>
      </c>
      <c r="AL5" s="6">
        <v>12484.82</v>
      </c>
      <c r="AM5" s="6">
        <v>13375.65</v>
      </c>
      <c r="AN5" s="6">
        <v>14793.28</v>
      </c>
      <c r="AP5" s="6">
        <v>13274.5</v>
      </c>
      <c r="AQ5" s="6">
        <v>13326.6</v>
      </c>
      <c r="AR5" s="6">
        <v>14712.06</v>
      </c>
      <c r="AT5" s="6">
        <v>13340.96</v>
      </c>
      <c r="AU5" s="6">
        <v>13631</v>
      </c>
      <c r="AV5" s="6">
        <v>14839.48</v>
      </c>
      <c r="AX5" s="6">
        <v>11608.52</v>
      </c>
      <c r="AY5" s="6">
        <v>13245.77</v>
      </c>
      <c r="AZ5" s="6">
        <v>14677.32</v>
      </c>
      <c r="BB5" s="6">
        <v>13436.85</v>
      </c>
      <c r="BC5" s="6">
        <v>13437.15</v>
      </c>
      <c r="BD5" s="6">
        <v>14850.37</v>
      </c>
    </row>
    <row r="6" spans="1:56" outlineLevel="2" x14ac:dyDescent="0.35">
      <c r="A6" s="2"/>
      <c r="B6" s="2"/>
      <c r="C6" s="2"/>
      <c r="D6" s="2"/>
      <c r="E6" s="2"/>
      <c r="F6" s="2" t="s">
        <v>11</v>
      </c>
      <c r="G6" s="2"/>
      <c r="H6" s="103">
        <v>68</v>
      </c>
      <c r="I6" s="103">
        <v>68</v>
      </c>
      <c r="J6" s="103">
        <v>68</v>
      </c>
      <c r="K6" s="103"/>
      <c r="L6" s="103">
        <v>68</v>
      </c>
      <c r="M6" s="103">
        <v>68</v>
      </c>
      <c r="N6" s="103">
        <v>68</v>
      </c>
      <c r="O6" s="103"/>
      <c r="P6" s="103">
        <v>68</v>
      </c>
      <c r="Q6" s="103">
        <v>68</v>
      </c>
      <c r="R6" s="103">
        <v>68</v>
      </c>
      <c r="S6" s="103"/>
      <c r="T6" s="103">
        <v>68</v>
      </c>
      <c r="U6" s="103">
        <v>68</v>
      </c>
      <c r="V6" s="103">
        <v>68</v>
      </c>
      <c r="W6" s="103"/>
      <c r="X6" s="103">
        <v>68</v>
      </c>
      <c r="Y6" s="103">
        <v>68</v>
      </c>
      <c r="Z6" s="103">
        <v>68</v>
      </c>
      <c r="AA6" s="103"/>
      <c r="AB6" s="103">
        <v>68</v>
      </c>
      <c r="AC6" s="103">
        <v>68</v>
      </c>
      <c r="AD6" s="103">
        <v>68</v>
      </c>
      <c r="AE6" s="103"/>
      <c r="AF6" s="103">
        <f t="shared" ref="AF6:AF64" si="0">AD6+Z6+V6+R6+N6+J6</f>
        <v>408</v>
      </c>
      <c r="AH6" s="6">
        <v>68</v>
      </c>
      <c r="AI6" s="6">
        <v>68</v>
      </c>
      <c r="AJ6" s="6">
        <v>68</v>
      </c>
      <c r="AL6" s="6">
        <v>68</v>
      </c>
      <c r="AM6" s="6">
        <v>68</v>
      </c>
      <c r="AN6" s="6">
        <v>68</v>
      </c>
      <c r="AP6" s="6">
        <v>68</v>
      </c>
      <c r="AQ6" s="6">
        <v>68</v>
      </c>
      <c r="AR6" s="6">
        <v>68</v>
      </c>
      <c r="AT6" s="6">
        <v>68</v>
      </c>
      <c r="AU6" s="6">
        <v>68</v>
      </c>
      <c r="AV6" s="6">
        <v>68</v>
      </c>
      <c r="AX6" s="6">
        <v>68</v>
      </c>
      <c r="AY6" s="6">
        <v>68</v>
      </c>
      <c r="AZ6" s="6">
        <v>68</v>
      </c>
      <c r="BB6" s="6">
        <v>68</v>
      </c>
      <c r="BC6" s="6">
        <v>68</v>
      </c>
      <c r="BD6" s="6">
        <v>68</v>
      </c>
    </row>
    <row r="7" spans="1:56" outlineLevel="2" x14ac:dyDescent="0.35">
      <c r="A7" s="2"/>
      <c r="B7" s="2"/>
      <c r="C7" s="2"/>
      <c r="D7" s="2"/>
      <c r="E7" s="2"/>
      <c r="F7" s="2" t="s">
        <v>12</v>
      </c>
      <c r="G7" s="2"/>
      <c r="H7" s="103">
        <v>3638.91</v>
      </c>
      <c r="I7" s="103">
        <v>2300.4299999999998</v>
      </c>
      <c r="J7" s="103">
        <v>2976</v>
      </c>
      <c r="K7" s="103"/>
      <c r="L7" s="103">
        <v>1642.56</v>
      </c>
      <c r="M7" s="103">
        <v>2168.81</v>
      </c>
      <c r="N7" s="103">
        <v>4351</v>
      </c>
      <c r="O7" s="103"/>
      <c r="P7" s="103">
        <v>2063.2399999999998</v>
      </c>
      <c r="Q7" s="103">
        <v>2726.09</v>
      </c>
      <c r="R7" s="103">
        <v>2849</v>
      </c>
      <c r="S7" s="103"/>
      <c r="T7" s="103">
        <v>2705.46</v>
      </c>
      <c r="U7" s="103">
        <v>2337.5500000000002</v>
      </c>
      <c r="V7" s="103">
        <v>3500</v>
      </c>
      <c r="W7" s="103"/>
      <c r="X7" s="103">
        <v>3170.22</v>
      </c>
      <c r="Y7" s="103">
        <v>2280.6</v>
      </c>
      <c r="Z7" s="103">
        <v>4000</v>
      </c>
      <c r="AA7" s="103"/>
      <c r="AB7" s="103">
        <v>4187.46</v>
      </c>
      <c r="AC7" s="103">
        <v>5324.39</v>
      </c>
      <c r="AD7" s="103">
        <v>6000</v>
      </c>
      <c r="AE7" s="103"/>
      <c r="AF7" s="103">
        <f t="shared" si="0"/>
        <v>23676</v>
      </c>
      <c r="AH7" s="6">
        <v>6098.71</v>
      </c>
      <c r="AI7" s="6">
        <v>4584.92</v>
      </c>
      <c r="AJ7" s="6">
        <v>6644.66</v>
      </c>
      <c r="AL7" s="6">
        <v>6190.19</v>
      </c>
      <c r="AM7" s="6">
        <v>7031.06</v>
      </c>
      <c r="AN7" s="6">
        <v>7777.82</v>
      </c>
      <c r="AP7" s="6">
        <v>5898.28</v>
      </c>
      <c r="AQ7" s="6">
        <v>8496.73</v>
      </c>
      <c r="AR7" s="6">
        <v>10611.92</v>
      </c>
      <c r="AT7" s="6">
        <v>6350.71</v>
      </c>
      <c r="AU7" s="6">
        <v>6570.04</v>
      </c>
      <c r="AV7" s="6">
        <v>8112.58</v>
      </c>
      <c r="AX7" s="6">
        <v>3195.74</v>
      </c>
      <c r="AY7" s="6">
        <v>2584.16</v>
      </c>
      <c r="AZ7" s="6">
        <v>2945.08</v>
      </c>
      <c r="BB7" s="6">
        <v>2502.65</v>
      </c>
      <c r="BC7" s="6">
        <v>2783.66</v>
      </c>
      <c r="BD7" s="6">
        <v>3524.02</v>
      </c>
    </row>
    <row r="8" spans="1:56" outlineLevel="2" x14ac:dyDescent="0.35">
      <c r="A8" s="2"/>
      <c r="B8" s="2"/>
      <c r="C8" s="2"/>
      <c r="D8" s="2"/>
      <c r="E8" s="2"/>
      <c r="F8" s="2" t="s">
        <v>98</v>
      </c>
      <c r="G8" s="2"/>
      <c r="H8" s="103">
        <v>0</v>
      </c>
      <c r="I8" s="103">
        <v>0</v>
      </c>
      <c r="J8" s="103">
        <v>0</v>
      </c>
      <c r="K8" s="103"/>
      <c r="L8" s="103">
        <v>0</v>
      </c>
      <c r="M8" s="103">
        <v>0</v>
      </c>
      <c r="N8" s="103">
        <v>0</v>
      </c>
      <c r="O8" s="103"/>
      <c r="P8" s="103">
        <v>0</v>
      </c>
      <c r="Q8" s="103">
        <v>0</v>
      </c>
      <c r="R8" s="103">
        <v>0</v>
      </c>
      <c r="S8" s="103"/>
      <c r="T8" s="103">
        <v>0</v>
      </c>
      <c r="U8" s="103">
        <v>0</v>
      </c>
      <c r="V8" s="103">
        <v>0</v>
      </c>
      <c r="W8" s="103"/>
      <c r="X8" s="103">
        <v>0</v>
      </c>
      <c r="Y8" s="103">
        <v>0</v>
      </c>
      <c r="Z8" s="103">
        <v>0</v>
      </c>
      <c r="AA8" s="103"/>
      <c r="AB8" s="103">
        <v>0</v>
      </c>
      <c r="AC8" s="103">
        <v>0</v>
      </c>
      <c r="AD8" s="103">
        <v>0</v>
      </c>
      <c r="AE8" s="103"/>
      <c r="AF8" s="103">
        <f t="shared" si="0"/>
        <v>0</v>
      </c>
      <c r="AH8" s="6">
        <v>0</v>
      </c>
      <c r="AI8" s="6">
        <v>0</v>
      </c>
      <c r="AJ8" s="6">
        <v>0</v>
      </c>
      <c r="AL8" s="6">
        <v>0</v>
      </c>
      <c r="AM8" s="6">
        <v>0</v>
      </c>
      <c r="AN8" s="6">
        <v>0</v>
      </c>
      <c r="AP8" s="6">
        <v>100</v>
      </c>
      <c r="AQ8" s="6">
        <v>0</v>
      </c>
      <c r="AR8" s="6">
        <v>0</v>
      </c>
      <c r="AT8" s="6">
        <v>806.3</v>
      </c>
      <c r="AU8" s="6">
        <v>0</v>
      </c>
      <c r="AV8" s="6">
        <v>0</v>
      </c>
      <c r="AX8" s="6">
        <v>0</v>
      </c>
      <c r="AY8" s="6">
        <v>0</v>
      </c>
      <c r="AZ8" s="6">
        <v>0</v>
      </c>
      <c r="BB8" s="6">
        <v>0</v>
      </c>
      <c r="BC8" s="6">
        <v>0</v>
      </c>
      <c r="BD8" s="6">
        <v>0</v>
      </c>
    </row>
    <row r="9" spans="1:56" ht="15" outlineLevel="2" thickBot="1" x14ac:dyDescent="0.4">
      <c r="A9" s="2"/>
      <c r="B9" s="2"/>
      <c r="C9" s="2"/>
      <c r="D9" s="2"/>
      <c r="E9" s="2"/>
      <c r="F9" s="2" t="s">
        <v>13</v>
      </c>
      <c r="G9" s="2"/>
      <c r="H9" s="104">
        <v>146.05000000000001</v>
      </c>
      <c r="I9" s="104">
        <v>0</v>
      </c>
      <c r="J9" s="104">
        <v>147</v>
      </c>
      <c r="K9" s="103"/>
      <c r="L9" s="104">
        <v>122.02</v>
      </c>
      <c r="M9" s="104">
        <v>0</v>
      </c>
      <c r="N9" s="104">
        <v>138</v>
      </c>
      <c r="O9" s="103"/>
      <c r="P9" s="104">
        <v>144.55000000000001</v>
      </c>
      <c r="Q9" s="104">
        <v>0</v>
      </c>
      <c r="R9" s="104">
        <v>145</v>
      </c>
      <c r="S9" s="103"/>
      <c r="T9" s="104">
        <v>0</v>
      </c>
      <c r="U9" s="104">
        <v>0</v>
      </c>
      <c r="V9" s="104">
        <v>0</v>
      </c>
      <c r="W9" s="103"/>
      <c r="X9" s="104">
        <v>0</v>
      </c>
      <c r="Y9" s="104">
        <v>112.77</v>
      </c>
      <c r="Z9" s="104">
        <v>112.77</v>
      </c>
      <c r="AA9" s="103"/>
      <c r="AB9" s="104">
        <v>0</v>
      </c>
      <c r="AC9" s="104">
        <v>122.37</v>
      </c>
      <c r="AD9" s="104">
        <v>0</v>
      </c>
      <c r="AE9" s="103"/>
      <c r="AF9" s="104">
        <f t="shared" si="0"/>
        <v>542.77</v>
      </c>
      <c r="AH9" s="9">
        <v>180.25</v>
      </c>
      <c r="AI9" s="9">
        <v>0</v>
      </c>
      <c r="AJ9" s="9">
        <v>127.66</v>
      </c>
      <c r="AL9" s="9">
        <v>156.38999999999999</v>
      </c>
      <c r="AM9" s="9">
        <v>0</v>
      </c>
      <c r="AN9" s="9">
        <v>127.51</v>
      </c>
      <c r="AP9" s="9">
        <v>145.09</v>
      </c>
      <c r="AQ9" s="9">
        <v>0</v>
      </c>
      <c r="AR9" s="9">
        <v>127.56</v>
      </c>
      <c r="AT9" s="9">
        <v>154.33000000000001</v>
      </c>
      <c r="AU9" s="9">
        <v>0</v>
      </c>
      <c r="AV9" s="9">
        <v>142.76</v>
      </c>
      <c r="AX9" s="9">
        <v>136.93</v>
      </c>
      <c r="AY9" s="9">
        <v>0</v>
      </c>
      <c r="AZ9" s="9">
        <v>142.49</v>
      </c>
      <c r="BB9" s="9">
        <v>146.13</v>
      </c>
      <c r="BC9" s="9">
        <v>0</v>
      </c>
      <c r="BD9" s="9">
        <v>141.12</v>
      </c>
    </row>
    <row r="10" spans="1:56" outlineLevel="1" x14ac:dyDescent="0.35">
      <c r="A10" s="2"/>
      <c r="B10" s="2"/>
      <c r="C10" s="2"/>
      <c r="D10" s="2"/>
      <c r="E10" s="2" t="s">
        <v>15</v>
      </c>
      <c r="F10" s="2"/>
      <c r="G10" s="2"/>
      <c r="H10" s="103">
        <f>ROUND(SUM(H4:H9),5)</f>
        <v>17200.599999999999</v>
      </c>
      <c r="I10" s="103">
        <f>ROUND(SUM(I4:I9),5)</f>
        <v>15932.78</v>
      </c>
      <c r="J10" s="103">
        <f>ROUND(SUM(J4:J9),5)</f>
        <v>18064</v>
      </c>
      <c r="K10" s="103"/>
      <c r="L10" s="103">
        <f>ROUND(SUM(L4:L9),5)</f>
        <v>16271.01</v>
      </c>
      <c r="M10" s="103">
        <f>ROUND(SUM(M4:M9),5)</f>
        <v>15832.2</v>
      </c>
      <c r="N10" s="103">
        <f>ROUND(SUM(N4:N9),5)</f>
        <v>19178</v>
      </c>
      <c r="O10" s="103"/>
      <c r="P10" s="103">
        <f>ROUND(SUM(P4:P9),5)</f>
        <v>15820.82</v>
      </c>
      <c r="Q10" s="103">
        <f>ROUND(SUM(Q4:Q9),5)</f>
        <v>16394.09</v>
      </c>
      <c r="R10" s="103">
        <f>ROUND(SUM(R4:R9),5)</f>
        <v>17952</v>
      </c>
      <c r="S10" s="103"/>
      <c r="T10" s="103">
        <f>ROUND(SUM(T4:T9),5)</f>
        <v>16216.1</v>
      </c>
      <c r="U10" s="103">
        <f>ROUND(SUM(U4:U9),5)</f>
        <v>15976.12</v>
      </c>
      <c r="V10" s="103">
        <f>ROUND(SUM(V4:V9),5)</f>
        <v>18458</v>
      </c>
      <c r="W10" s="103"/>
      <c r="X10" s="103">
        <f>ROUND(SUM(X4:X9),5)</f>
        <v>16732.21</v>
      </c>
      <c r="Y10" s="103">
        <f>ROUND(SUM(Y4:Y9),5)</f>
        <v>16061.37</v>
      </c>
      <c r="Z10" s="103">
        <f>ROUND(SUM(Z4:Z9),5)</f>
        <v>19070.77</v>
      </c>
      <c r="AA10" s="103"/>
      <c r="AB10" s="103">
        <f>ROUND(SUM(AB4:AB9),5)</f>
        <v>17802.46</v>
      </c>
      <c r="AC10" s="103">
        <f>ROUND(SUM(AC4:AC9),5)</f>
        <v>19113.95</v>
      </c>
      <c r="AD10" s="103">
        <f>ROUND(SUM(AD4:AD9),5)</f>
        <v>20958</v>
      </c>
      <c r="AE10" s="103"/>
      <c r="AF10" s="103">
        <f>AD10+Z10+V10+R10+N10+J10</f>
        <v>113680.77</v>
      </c>
      <c r="AH10" s="6">
        <v>19786.72</v>
      </c>
      <c r="AI10" s="6">
        <v>18137.21</v>
      </c>
      <c r="AJ10" s="6">
        <v>21592.45</v>
      </c>
      <c r="AL10" s="6">
        <v>18899.400000000001</v>
      </c>
      <c r="AM10" s="6">
        <v>20474.71</v>
      </c>
      <c r="AN10" s="6">
        <v>22766.61</v>
      </c>
      <c r="AP10" s="6">
        <v>19485.87</v>
      </c>
      <c r="AQ10" s="6">
        <v>21891.33</v>
      </c>
      <c r="AR10" s="6">
        <v>25519.54</v>
      </c>
      <c r="AT10" s="6">
        <v>20720.3</v>
      </c>
      <c r="AU10" s="6">
        <v>20269.04</v>
      </c>
      <c r="AV10" s="6">
        <v>23162.82</v>
      </c>
      <c r="AX10" s="6">
        <v>15009.19</v>
      </c>
      <c r="AY10" s="6">
        <v>15897.93</v>
      </c>
      <c r="AZ10" s="6">
        <v>17832.89</v>
      </c>
      <c r="BB10" s="6">
        <v>16153.63</v>
      </c>
      <c r="BC10" s="6">
        <v>16288.81</v>
      </c>
      <c r="BD10" s="6">
        <v>18583.509999999998</v>
      </c>
    </row>
    <row r="11" spans="1:56" outlineLevel="1" x14ac:dyDescent="0.35">
      <c r="A11" s="2"/>
      <c r="B11" s="2"/>
      <c r="C11" s="2"/>
      <c r="D11" s="2"/>
      <c r="E11" s="2" t="s">
        <v>25</v>
      </c>
      <c r="F11" s="2"/>
      <c r="G11" s="2"/>
      <c r="H11" s="103">
        <v>863.51</v>
      </c>
      <c r="I11" s="103">
        <v>801.37</v>
      </c>
      <c r="J11" s="103">
        <v>847</v>
      </c>
      <c r="K11" s="103"/>
      <c r="L11" s="103">
        <v>819.28</v>
      </c>
      <c r="M11" s="103">
        <v>796.36</v>
      </c>
      <c r="N11" s="103">
        <v>918</v>
      </c>
      <c r="O11" s="103"/>
      <c r="P11" s="103">
        <v>787.65</v>
      </c>
      <c r="Q11" s="103">
        <v>824.47</v>
      </c>
      <c r="R11" s="103">
        <v>843</v>
      </c>
      <c r="S11" s="103"/>
      <c r="T11" s="103">
        <v>818.25</v>
      </c>
      <c r="U11" s="103">
        <v>804.92</v>
      </c>
      <c r="V11" s="103">
        <v>804.92</v>
      </c>
      <c r="W11" s="103"/>
      <c r="X11" s="103">
        <v>841.61</v>
      </c>
      <c r="Y11" s="103">
        <v>802.19</v>
      </c>
      <c r="Z11" s="103">
        <v>802.19</v>
      </c>
      <c r="AA11" s="103"/>
      <c r="AB11" s="103">
        <v>894.57</v>
      </c>
      <c r="AC11" s="103">
        <v>955.12</v>
      </c>
      <c r="AD11" s="103">
        <v>894.57</v>
      </c>
      <c r="AE11" s="103"/>
      <c r="AF11" s="103">
        <f>AD11+Z11+V11+R11+N11+J11</f>
        <v>5109.68</v>
      </c>
      <c r="AH11" s="6">
        <v>987.08</v>
      </c>
      <c r="AI11" s="6">
        <v>914.54</v>
      </c>
      <c r="AJ11" s="6">
        <v>1021.52</v>
      </c>
      <c r="AL11" s="6">
        <v>990.1</v>
      </c>
      <c r="AM11" s="6">
        <v>1044.77</v>
      </c>
      <c r="AN11" s="6">
        <v>1087.8599999999999</v>
      </c>
      <c r="AP11" s="6">
        <v>977.03</v>
      </c>
      <c r="AQ11" s="6">
        <v>1112.95</v>
      </c>
      <c r="AR11" s="6">
        <v>1226.1600000000001</v>
      </c>
      <c r="AT11" s="6">
        <v>999.86</v>
      </c>
      <c r="AU11" s="6">
        <v>1016.13</v>
      </c>
      <c r="AV11" s="6">
        <v>1102.1199999999999</v>
      </c>
      <c r="AX11" s="6">
        <v>839.46</v>
      </c>
      <c r="AY11" s="6">
        <v>815.59</v>
      </c>
      <c r="AZ11" s="6">
        <v>842.36</v>
      </c>
      <c r="BB11" s="6">
        <v>806.39</v>
      </c>
      <c r="BC11" s="6">
        <v>825.62</v>
      </c>
      <c r="BD11" s="6">
        <v>873.08</v>
      </c>
    </row>
    <row r="12" spans="1:56" outlineLevel="2" x14ac:dyDescent="0.35">
      <c r="A12" s="2"/>
      <c r="B12" s="2"/>
      <c r="C12" s="2"/>
      <c r="D12" s="2"/>
      <c r="E12" s="2" t="s">
        <v>26</v>
      </c>
      <c r="F12" s="2"/>
      <c r="G12" s="2"/>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f t="shared" si="0"/>
        <v>0</v>
      </c>
      <c r="AH12" s="6"/>
      <c r="AI12" s="6"/>
      <c r="AJ12" s="6"/>
      <c r="AL12" s="6"/>
      <c r="AM12" s="6"/>
      <c r="AN12" s="6"/>
      <c r="AP12" s="6"/>
      <c r="AQ12" s="6"/>
      <c r="AR12" s="6"/>
      <c r="AT12" s="6"/>
      <c r="AU12" s="6"/>
      <c r="AV12" s="6"/>
      <c r="AX12" s="6"/>
      <c r="AY12" s="6"/>
      <c r="AZ12" s="6"/>
      <c r="BB12" s="6"/>
      <c r="BC12" s="6"/>
      <c r="BD12" s="6"/>
    </row>
    <row r="13" spans="1:56" outlineLevel="2" x14ac:dyDescent="0.35">
      <c r="A13" s="2"/>
      <c r="B13" s="2"/>
      <c r="C13" s="2"/>
      <c r="D13" s="2"/>
      <c r="E13" s="2"/>
      <c r="F13" s="2" t="s">
        <v>27</v>
      </c>
      <c r="G13" s="2"/>
      <c r="H13" s="103">
        <v>0</v>
      </c>
      <c r="I13" s="103">
        <v>0</v>
      </c>
      <c r="J13" s="103">
        <v>0</v>
      </c>
      <c r="K13" s="103"/>
      <c r="L13" s="103">
        <v>0</v>
      </c>
      <c r="M13" s="103">
        <v>0</v>
      </c>
      <c r="N13" s="103">
        <v>0</v>
      </c>
      <c r="O13" s="103"/>
      <c r="P13" s="103">
        <v>0</v>
      </c>
      <c r="Q13" s="103">
        <v>0</v>
      </c>
      <c r="R13" s="103">
        <v>0</v>
      </c>
      <c r="S13" s="103"/>
      <c r="T13" s="103">
        <v>0</v>
      </c>
      <c r="U13" s="103">
        <v>115</v>
      </c>
      <c r="V13" s="103">
        <v>115</v>
      </c>
      <c r="W13" s="103"/>
      <c r="X13" s="103">
        <v>0</v>
      </c>
      <c r="Y13" s="103">
        <v>0</v>
      </c>
      <c r="Z13" s="103">
        <v>0</v>
      </c>
      <c r="AA13" s="103"/>
      <c r="AB13" s="103">
        <v>0</v>
      </c>
      <c r="AC13" s="103">
        <v>0</v>
      </c>
      <c r="AD13" s="103">
        <v>0</v>
      </c>
      <c r="AE13" s="103"/>
      <c r="AF13" s="103">
        <f t="shared" si="0"/>
        <v>115</v>
      </c>
      <c r="AH13" s="6">
        <v>0</v>
      </c>
      <c r="AI13" s="6">
        <v>0</v>
      </c>
      <c r="AJ13" s="6">
        <v>0</v>
      </c>
      <c r="AL13" s="6">
        <v>0</v>
      </c>
      <c r="AM13" s="6">
        <v>202.25</v>
      </c>
      <c r="AN13" s="6">
        <v>120</v>
      </c>
      <c r="AP13" s="6">
        <v>0</v>
      </c>
      <c r="AQ13" s="6">
        <v>0</v>
      </c>
      <c r="AR13" s="6">
        <v>0</v>
      </c>
      <c r="AT13" s="6">
        <v>0</v>
      </c>
      <c r="AU13" s="6">
        <v>0</v>
      </c>
      <c r="AV13" s="6">
        <v>0</v>
      </c>
      <c r="AX13" s="6">
        <v>0</v>
      </c>
      <c r="AY13" s="6">
        <v>0</v>
      </c>
      <c r="AZ13" s="6">
        <v>0</v>
      </c>
      <c r="BB13" s="6">
        <v>0</v>
      </c>
      <c r="BC13" s="6">
        <v>0</v>
      </c>
      <c r="BD13" s="6">
        <v>0</v>
      </c>
    </row>
    <row r="14" spans="1:56" outlineLevel="2" x14ac:dyDescent="0.35">
      <c r="A14" s="2"/>
      <c r="B14" s="2"/>
      <c r="C14" s="2"/>
      <c r="D14" s="2"/>
      <c r="E14" s="2"/>
      <c r="F14" s="2" t="s">
        <v>28</v>
      </c>
      <c r="G14" s="2"/>
      <c r="H14" s="103">
        <v>30</v>
      </c>
      <c r="I14" s="103">
        <v>0</v>
      </c>
      <c r="J14" s="103">
        <v>0</v>
      </c>
      <c r="K14" s="103"/>
      <c r="L14" s="103">
        <v>0</v>
      </c>
      <c r="M14" s="103">
        <v>30</v>
      </c>
      <c r="N14" s="103">
        <v>30</v>
      </c>
      <c r="O14" s="103"/>
      <c r="P14" s="103">
        <v>30</v>
      </c>
      <c r="Q14" s="103">
        <v>0</v>
      </c>
      <c r="R14" s="103">
        <v>0</v>
      </c>
      <c r="S14" s="103"/>
      <c r="T14" s="103">
        <v>30</v>
      </c>
      <c r="U14" s="103">
        <v>0</v>
      </c>
      <c r="V14" s="103">
        <v>0</v>
      </c>
      <c r="W14" s="103"/>
      <c r="X14" s="103">
        <v>0</v>
      </c>
      <c r="Y14" s="103">
        <v>0</v>
      </c>
      <c r="Z14" s="103">
        <v>0</v>
      </c>
      <c r="AA14" s="103"/>
      <c r="AB14" s="103">
        <v>0</v>
      </c>
      <c r="AC14" s="103">
        <v>30</v>
      </c>
      <c r="AD14" s="103">
        <v>0</v>
      </c>
      <c r="AE14" s="103"/>
      <c r="AF14" s="103">
        <f t="shared" si="0"/>
        <v>30</v>
      </c>
      <c r="AH14" s="6">
        <v>0</v>
      </c>
      <c r="AI14" s="6">
        <v>30</v>
      </c>
      <c r="AJ14" s="6">
        <v>0</v>
      </c>
      <c r="AL14" s="6">
        <v>30</v>
      </c>
      <c r="AM14" s="6">
        <v>0</v>
      </c>
      <c r="AN14" s="6">
        <v>30</v>
      </c>
      <c r="AP14" s="6">
        <v>0</v>
      </c>
      <c r="AQ14" s="6">
        <v>126</v>
      </c>
      <c r="AR14" s="6">
        <v>0</v>
      </c>
      <c r="AT14" s="6">
        <v>40</v>
      </c>
      <c r="AU14" s="6">
        <v>0</v>
      </c>
      <c r="AV14" s="6">
        <v>0</v>
      </c>
      <c r="AX14" s="6">
        <v>0</v>
      </c>
      <c r="AY14" s="6">
        <v>0</v>
      </c>
      <c r="AZ14" s="6">
        <v>30</v>
      </c>
      <c r="BB14" s="6">
        <v>0</v>
      </c>
      <c r="BC14" s="6">
        <v>30</v>
      </c>
      <c r="BD14" s="6">
        <v>0</v>
      </c>
    </row>
    <row r="15" spans="1:56" ht="15" outlineLevel="2" thickBot="1" x14ac:dyDescent="0.4">
      <c r="A15" s="2"/>
      <c r="B15" s="2"/>
      <c r="C15" s="2"/>
      <c r="D15" s="2"/>
      <c r="E15" s="2"/>
      <c r="F15" s="2" t="s">
        <v>90</v>
      </c>
      <c r="G15" s="2"/>
      <c r="H15" s="104">
        <v>0</v>
      </c>
      <c r="I15" s="104">
        <v>0</v>
      </c>
      <c r="J15" s="104">
        <v>0</v>
      </c>
      <c r="K15" s="103"/>
      <c r="L15" s="104">
        <v>0</v>
      </c>
      <c r="M15" s="104">
        <v>0</v>
      </c>
      <c r="N15" s="104">
        <v>0</v>
      </c>
      <c r="O15" s="103"/>
      <c r="P15" s="104">
        <v>0</v>
      </c>
      <c r="Q15" s="104">
        <v>0</v>
      </c>
      <c r="R15" s="104">
        <v>0</v>
      </c>
      <c r="S15" s="103"/>
      <c r="T15" s="104">
        <v>0</v>
      </c>
      <c r="U15" s="104">
        <v>0</v>
      </c>
      <c r="V15" s="104">
        <v>0</v>
      </c>
      <c r="W15" s="103"/>
      <c r="X15" s="104">
        <v>0</v>
      </c>
      <c r="Y15" s="104">
        <v>0</v>
      </c>
      <c r="Z15" s="104">
        <v>0</v>
      </c>
      <c r="AA15" s="103"/>
      <c r="AB15" s="104">
        <v>950</v>
      </c>
      <c r="AC15" s="104">
        <v>0</v>
      </c>
      <c r="AD15" s="104">
        <v>0</v>
      </c>
      <c r="AE15" s="103"/>
      <c r="AF15" s="104">
        <f t="shared" si="0"/>
        <v>0</v>
      </c>
      <c r="AH15" s="9">
        <v>0</v>
      </c>
      <c r="AI15" s="9">
        <v>0</v>
      </c>
      <c r="AJ15" s="9">
        <v>0</v>
      </c>
      <c r="AL15" s="9">
        <v>0</v>
      </c>
      <c r="AM15" s="9">
        <v>0</v>
      </c>
      <c r="AN15" s="9">
        <v>0</v>
      </c>
      <c r="AP15" s="9">
        <v>0</v>
      </c>
      <c r="AQ15" s="9">
        <v>0</v>
      </c>
      <c r="AR15" s="9">
        <v>0</v>
      </c>
      <c r="AT15" s="9">
        <v>0</v>
      </c>
      <c r="AU15" s="9">
        <v>0</v>
      </c>
      <c r="AV15" s="9">
        <v>0</v>
      </c>
      <c r="AX15" s="9">
        <v>0</v>
      </c>
      <c r="AY15" s="9">
        <v>0</v>
      </c>
      <c r="AZ15" s="9">
        <v>0</v>
      </c>
      <c r="BB15" s="9">
        <v>0</v>
      </c>
      <c r="BC15" s="9">
        <v>0</v>
      </c>
      <c r="BD15" s="9">
        <v>0</v>
      </c>
    </row>
    <row r="16" spans="1:56" outlineLevel="1" x14ac:dyDescent="0.35">
      <c r="A16" s="2"/>
      <c r="B16" s="2"/>
      <c r="C16" s="2"/>
      <c r="D16" s="2"/>
      <c r="E16" s="2" t="s">
        <v>29</v>
      </c>
      <c r="F16" s="2"/>
      <c r="G16" s="2"/>
      <c r="H16" s="103">
        <f>ROUND(SUM(H12:H15),5)</f>
        <v>30</v>
      </c>
      <c r="I16" s="103">
        <f>ROUND(SUM(I12:I15),5)</f>
        <v>0</v>
      </c>
      <c r="J16" s="103">
        <f>ROUND(SUM(J12:J15),5)</f>
        <v>0</v>
      </c>
      <c r="K16" s="103"/>
      <c r="L16" s="103">
        <f>ROUND(SUM(L12:L15),5)</f>
        <v>0</v>
      </c>
      <c r="M16" s="103">
        <f>ROUND(SUM(M12:M15),5)</f>
        <v>30</v>
      </c>
      <c r="N16" s="103">
        <f>ROUND(SUM(N12:N15),5)</f>
        <v>30</v>
      </c>
      <c r="O16" s="103"/>
      <c r="P16" s="103">
        <f>ROUND(SUM(P12:P15),5)</f>
        <v>30</v>
      </c>
      <c r="Q16" s="103">
        <f>ROUND(SUM(Q12:Q15),5)</f>
        <v>0</v>
      </c>
      <c r="R16" s="103">
        <f>ROUND(SUM(R12:R15),5)</f>
        <v>0</v>
      </c>
      <c r="S16" s="103"/>
      <c r="T16" s="103">
        <f>ROUND(SUM(T12:T15),5)</f>
        <v>30</v>
      </c>
      <c r="U16" s="103">
        <f>ROUND(SUM(U12:U15),5)</f>
        <v>115</v>
      </c>
      <c r="V16" s="103">
        <f>ROUND(SUM(V12:V15),5)</f>
        <v>115</v>
      </c>
      <c r="W16" s="103"/>
      <c r="X16" s="103">
        <f>ROUND(SUM(X12:X15),5)</f>
        <v>0</v>
      </c>
      <c r="Y16" s="103">
        <f>ROUND(SUM(Y12:Y15),5)</f>
        <v>0</v>
      </c>
      <c r="Z16" s="103">
        <f>ROUND(SUM(Z12:Z15),5)</f>
        <v>0</v>
      </c>
      <c r="AA16" s="103"/>
      <c r="AB16" s="103">
        <f>ROUND(SUM(AB12:AB15),5)</f>
        <v>950</v>
      </c>
      <c r="AC16" s="103">
        <f>ROUND(SUM(AC12:AC15),5)</f>
        <v>30</v>
      </c>
      <c r="AD16" s="103">
        <f>ROUND(SUM(AD12:AD15),5)</f>
        <v>0</v>
      </c>
      <c r="AE16" s="103"/>
      <c r="AF16" s="103">
        <f t="shared" si="0"/>
        <v>145</v>
      </c>
      <c r="AH16" s="6">
        <v>0</v>
      </c>
      <c r="AI16" s="6">
        <v>30</v>
      </c>
      <c r="AJ16" s="6">
        <v>0</v>
      </c>
      <c r="AL16" s="6">
        <v>30</v>
      </c>
      <c r="AM16" s="6">
        <v>202.25</v>
      </c>
      <c r="AN16" s="6">
        <v>150</v>
      </c>
      <c r="AP16" s="6">
        <v>0</v>
      </c>
      <c r="AQ16" s="6">
        <v>126</v>
      </c>
      <c r="AR16" s="6">
        <v>0</v>
      </c>
      <c r="AT16" s="6">
        <v>40</v>
      </c>
      <c r="AU16" s="6">
        <v>0</v>
      </c>
      <c r="AV16" s="6">
        <v>0</v>
      </c>
      <c r="AX16" s="6">
        <v>0</v>
      </c>
      <c r="AY16" s="6">
        <v>0</v>
      </c>
      <c r="AZ16" s="6">
        <v>30</v>
      </c>
      <c r="BB16" s="6">
        <v>0</v>
      </c>
      <c r="BC16" s="6">
        <v>30</v>
      </c>
      <c r="BD16" s="6">
        <v>0</v>
      </c>
    </row>
    <row r="17" spans="1:56" ht="15" outlineLevel="1" thickBot="1" x14ac:dyDescent="0.4">
      <c r="A17" s="2"/>
      <c r="B17" s="2"/>
      <c r="C17" s="2"/>
      <c r="D17" s="2"/>
      <c r="E17" s="2" t="s">
        <v>125</v>
      </c>
      <c r="F17" s="2"/>
      <c r="G17" s="2"/>
      <c r="H17" s="103">
        <v>0</v>
      </c>
      <c r="I17" s="103">
        <v>0</v>
      </c>
      <c r="J17" s="103">
        <v>0</v>
      </c>
      <c r="K17" s="103"/>
      <c r="L17" s="103">
        <v>0</v>
      </c>
      <c r="M17" s="103">
        <v>0</v>
      </c>
      <c r="N17" s="103">
        <v>0</v>
      </c>
      <c r="O17" s="103"/>
      <c r="P17" s="103">
        <v>0</v>
      </c>
      <c r="Q17" s="103">
        <v>0</v>
      </c>
      <c r="R17" s="103">
        <v>0</v>
      </c>
      <c r="S17" s="103"/>
      <c r="T17" s="103">
        <v>0</v>
      </c>
      <c r="U17" s="103">
        <v>0</v>
      </c>
      <c r="V17" s="103">
        <v>0</v>
      </c>
      <c r="W17" s="103"/>
      <c r="X17" s="103">
        <v>0</v>
      </c>
      <c r="Y17" s="103">
        <v>0</v>
      </c>
      <c r="Z17" s="103">
        <v>0</v>
      </c>
      <c r="AA17" s="103"/>
      <c r="AB17" s="103">
        <v>0</v>
      </c>
      <c r="AC17" s="103">
        <v>0</v>
      </c>
      <c r="AD17" s="103">
        <v>0</v>
      </c>
      <c r="AE17" s="103"/>
      <c r="AF17" s="103">
        <f t="shared" si="0"/>
        <v>0</v>
      </c>
      <c r="AH17" s="6">
        <v>0</v>
      </c>
      <c r="AI17" s="6">
        <v>0</v>
      </c>
      <c r="AJ17" s="6">
        <v>0</v>
      </c>
      <c r="AL17" s="6">
        <v>0</v>
      </c>
      <c r="AM17" s="6">
        <v>0</v>
      </c>
      <c r="AN17" s="6">
        <v>0</v>
      </c>
      <c r="AP17" s="6">
        <v>0</v>
      </c>
      <c r="AQ17" s="6">
        <v>0</v>
      </c>
      <c r="AR17" s="6">
        <v>0</v>
      </c>
      <c r="AT17" s="6">
        <v>0</v>
      </c>
      <c r="AU17" s="6">
        <v>0</v>
      </c>
      <c r="AV17" s="6">
        <v>0</v>
      </c>
      <c r="AX17" s="6">
        <v>0</v>
      </c>
      <c r="AY17" s="6">
        <v>0</v>
      </c>
      <c r="AZ17" s="6">
        <v>0</v>
      </c>
      <c r="BB17" s="6">
        <v>0</v>
      </c>
      <c r="BC17" s="6">
        <v>0</v>
      </c>
      <c r="BD17" s="6">
        <v>0</v>
      </c>
    </row>
    <row r="18" spans="1:56" ht="15" thickBot="1" x14ac:dyDescent="0.4">
      <c r="A18" s="2"/>
      <c r="B18" s="2"/>
      <c r="C18" s="2"/>
      <c r="D18" s="2" t="s">
        <v>31</v>
      </c>
      <c r="E18" s="2"/>
      <c r="F18" s="2"/>
      <c r="G18" s="2"/>
      <c r="H18" s="105">
        <f>ROUND(H3+SUM(H10:H11)+SUM(H16:H17),5)</f>
        <v>18094.11</v>
      </c>
      <c r="I18" s="105">
        <f>ROUND(I3+SUM(I10:I11)+SUM(I16:I17),5)</f>
        <v>16734.150000000001</v>
      </c>
      <c r="J18" s="105">
        <f>ROUND(J3+SUM(J10:J11)+SUM(J16:J17),5)</f>
        <v>18911</v>
      </c>
      <c r="K18" s="103"/>
      <c r="L18" s="105">
        <f>ROUND(L3+SUM(L10:L11)+SUM(L16:L17),5)</f>
        <v>17090.29</v>
      </c>
      <c r="M18" s="105">
        <f>ROUND(M3+SUM(M10:M11)+SUM(M16:M17),5)</f>
        <v>16658.560000000001</v>
      </c>
      <c r="N18" s="105">
        <f>ROUND(N3+SUM(N10:N11)+SUM(N16:N17),5)</f>
        <v>20126</v>
      </c>
      <c r="O18" s="103"/>
      <c r="P18" s="105">
        <f>ROUND(P3+SUM(P10:P11)+SUM(P16:P17),5)</f>
        <v>16638.47</v>
      </c>
      <c r="Q18" s="105">
        <f>ROUND(Q3+SUM(Q10:Q11)+SUM(Q16:Q17),5)</f>
        <v>17218.560000000001</v>
      </c>
      <c r="R18" s="105">
        <f>ROUND(R3+SUM(R10:R11)+SUM(R16:R17),5)</f>
        <v>18795</v>
      </c>
      <c r="S18" s="103"/>
      <c r="T18" s="105">
        <f>ROUND(T3+SUM(T10:T11)+SUM(T16:T17),5)</f>
        <v>17064.349999999999</v>
      </c>
      <c r="U18" s="105">
        <f>ROUND(U3+SUM(U10:U11)+SUM(U16:U17),5)</f>
        <v>16896.04</v>
      </c>
      <c r="V18" s="105">
        <f>ROUND(V3+SUM(V10:V11)+SUM(V16:V17),5)</f>
        <v>19377.919999999998</v>
      </c>
      <c r="W18" s="103"/>
      <c r="X18" s="105">
        <f>ROUND(X3+SUM(X10:X11)+SUM(X16:X17),5)</f>
        <v>17573.82</v>
      </c>
      <c r="Y18" s="105">
        <f>ROUND(Y3+SUM(Y10:Y11)+SUM(Y16:Y17),5)</f>
        <v>16863.560000000001</v>
      </c>
      <c r="Z18" s="105">
        <f>ROUND(Z3+SUM(Z10:Z11)+SUM(Z16:Z17),5)</f>
        <v>19872.96</v>
      </c>
      <c r="AA18" s="103"/>
      <c r="AB18" s="105">
        <f>ROUND(AB3+SUM(AB10:AB11)+SUM(AB16:AB17),5)</f>
        <v>19647.03</v>
      </c>
      <c r="AC18" s="105">
        <f>ROUND(AC3+SUM(AC10:AC11)+SUM(AC16:AC17),5)</f>
        <v>20099.07</v>
      </c>
      <c r="AD18" s="105">
        <f>ROUND(AD3+SUM(AD10:AD11)+SUM(AD16:AD17),5)</f>
        <v>21852.57</v>
      </c>
      <c r="AE18" s="103"/>
      <c r="AF18" s="105">
        <f t="shared" si="0"/>
        <v>118935.45</v>
      </c>
      <c r="AH18" s="11">
        <v>20773.8</v>
      </c>
      <c r="AI18" s="11">
        <v>19081.75</v>
      </c>
      <c r="AJ18" s="11">
        <v>22613.97</v>
      </c>
      <c r="AL18" s="11">
        <v>19919.5</v>
      </c>
      <c r="AM18" s="11">
        <v>21721.73</v>
      </c>
      <c r="AN18" s="11">
        <v>24004.47</v>
      </c>
      <c r="AP18" s="11">
        <v>20462.900000000001</v>
      </c>
      <c r="AQ18" s="11">
        <v>23130.28</v>
      </c>
      <c r="AR18" s="11">
        <v>26745.7</v>
      </c>
      <c r="AT18" s="11">
        <v>21760.16</v>
      </c>
      <c r="AU18" s="11">
        <v>21285.17</v>
      </c>
      <c r="AV18" s="11">
        <v>24264.94</v>
      </c>
      <c r="AX18" s="11">
        <v>15848.65</v>
      </c>
      <c r="AY18" s="11">
        <v>16713.52</v>
      </c>
      <c r="AZ18" s="11">
        <v>18705.25</v>
      </c>
      <c r="BB18" s="11">
        <v>16960.02</v>
      </c>
      <c r="BC18" s="11">
        <v>17144.43</v>
      </c>
      <c r="BD18" s="11">
        <v>19456.59</v>
      </c>
    </row>
    <row r="19" spans="1:56" x14ac:dyDescent="0.35">
      <c r="A19" s="2"/>
      <c r="B19" s="2"/>
      <c r="C19" s="2" t="s">
        <v>32</v>
      </c>
      <c r="D19" s="2"/>
      <c r="E19" s="2"/>
      <c r="F19" s="2"/>
      <c r="G19" s="2"/>
      <c r="H19" s="103">
        <f>H18</f>
        <v>18094.11</v>
      </c>
      <c r="I19" s="103">
        <f>I18</f>
        <v>16734.150000000001</v>
      </c>
      <c r="J19" s="103">
        <f>J18</f>
        <v>18911</v>
      </c>
      <c r="K19" s="103"/>
      <c r="L19" s="103">
        <f>L18</f>
        <v>17090.29</v>
      </c>
      <c r="M19" s="103">
        <f>M18</f>
        <v>16658.560000000001</v>
      </c>
      <c r="N19" s="103">
        <f>N18</f>
        <v>20126</v>
      </c>
      <c r="O19" s="103"/>
      <c r="P19" s="103">
        <f>P18</f>
        <v>16638.47</v>
      </c>
      <c r="Q19" s="103">
        <f>Q18</f>
        <v>17218.560000000001</v>
      </c>
      <c r="R19" s="103">
        <f>R18</f>
        <v>18795</v>
      </c>
      <c r="S19" s="103"/>
      <c r="T19" s="103">
        <f>T18</f>
        <v>17064.349999999999</v>
      </c>
      <c r="U19" s="103">
        <f>U18</f>
        <v>16896.04</v>
      </c>
      <c r="V19" s="103">
        <f>V18</f>
        <v>19377.919999999998</v>
      </c>
      <c r="W19" s="103"/>
      <c r="X19" s="103">
        <f>X18</f>
        <v>17573.82</v>
      </c>
      <c r="Y19" s="103">
        <f>Y18</f>
        <v>16863.560000000001</v>
      </c>
      <c r="Z19" s="103">
        <f>Z18</f>
        <v>19872.96</v>
      </c>
      <c r="AA19" s="103"/>
      <c r="AB19" s="103">
        <f>AB18</f>
        <v>19647.03</v>
      </c>
      <c r="AC19" s="103">
        <f>AC18</f>
        <v>20099.07</v>
      </c>
      <c r="AD19" s="103">
        <f>AD18</f>
        <v>21852.57</v>
      </c>
      <c r="AE19" s="103"/>
      <c r="AF19" s="103">
        <f>AD19+Z19+V19+R19+N19+J19</f>
        <v>118935.45</v>
      </c>
      <c r="AH19" s="6">
        <v>20773.8</v>
      </c>
      <c r="AI19" s="6">
        <v>19081.75</v>
      </c>
      <c r="AJ19" s="6">
        <v>22613.97</v>
      </c>
      <c r="AL19" s="6">
        <v>19919.5</v>
      </c>
      <c r="AM19" s="6">
        <v>21721.73</v>
      </c>
      <c r="AN19" s="6">
        <v>24004.47</v>
      </c>
      <c r="AP19" s="6">
        <v>20462.900000000001</v>
      </c>
      <c r="AQ19" s="6">
        <v>23130.28</v>
      </c>
      <c r="AR19" s="6">
        <v>26745.7</v>
      </c>
      <c r="AT19" s="6">
        <v>21760.16</v>
      </c>
      <c r="AU19" s="6">
        <v>21285.17</v>
      </c>
      <c r="AV19" s="6">
        <v>24264.94</v>
      </c>
      <c r="AX19" s="6">
        <v>15848.65</v>
      </c>
      <c r="AY19" s="6">
        <v>16713.52</v>
      </c>
      <c r="AZ19" s="6">
        <v>18705.25</v>
      </c>
      <c r="BB19" s="6">
        <v>16960.02</v>
      </c>
      <c r="BC19" s="6">
        <v>17144.43</v>
      </c>
      <c r="BD19" s="6">
        <v>19456.59</v>
      </c>
    </row>
    <row r="20" spans="1:56" outlineLevel="1" x14ac:dyDescent="0.35">
      <c r="A20" s="2"/>
      <c r="B20" s="2"/>
      <c r="C20" s="2"/>
      <c r="D20" s="2" t="s">
        <v>33</v>
      </c>
      <c r="E20" s="2"/>
      <c r="F20" s="2"/>
      <c r="G20" s="2"/>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f t="shared" si="0"/>
        <v>0</v>
      </c>
      <c r="AH20" s="6"/>
      <c r="AI20" s="6"/>
      <c r="AJ20" s="6"/>
      <c r="AL20" s="6"/>
      <c r="AM20" s="6"/>
      <c r="AN20" s="6"/>
      <c r="AP20" s="6"/>
      <c r="AQ20" s="6"/>
      <c r="AR20" s="6"/>
      <c r="AT20" s="6"/>
      <c r="AU20" s="6"/>
      <c r="AV20" s="6"/>
      <c r="AX20" s="6"/>
      <c r="AY20" s="6"/>
      <c r="AZ20" s="6"/>
      <c r="BB20" s="6"/>
      <c r="BC20" s="6"/>
      <c r="BD20" s="6"/>
    </row>
    <row r="21" spans="1:56" outlineLevel="1" x14ac:dyDescent="0.35">
      <c r="A21" s="2"/>
      <c r="B21" s="2"/>
      <c r="C21" s="2"/>
      <c r="D21" s="2"/>
      <c r="E21" s="2" t="s">
        <v>34</v>
      </c>
      <c r="F21" s="2"/>
      <c r="G21" s="2"/>
      <c r="H21" s="103">
        <v>8586.8700000000008</v>
      </c>
      <c r="I21" s="103">
        <v>8617.32</v>
      </c>
      <c r="J21" s="103">
        <v>9419</v>
      </c>
      <c r="K21" s="103"/>
      <c r="L21" s="103">
        <v>8567.31</v>
      </c>
      <c r="M21" s="103">
        <v>8600.36</v>
      </c>
      <c r="N21" s="103">
        <v>9501</v>
      </c>
      <c r="O21" s="103"/>
      <c r="P21" s="103">
        <v>8686.94</v>
      </c>
      <c r="Q21" s="103">
        <v>8480.83</v>
      </c>
      <c r="R21" s="103">
        <v>10599</v>
      </c>
      <c r="S21" s="103"/>
      <c r="T21" s="103">
        <v>8558.06</v>
      </c>
      <c r="U21" s="103">
        <v>8553.82</v>
      </c>
      <c r="V21" s="103">
        <v>9750</v>
      </c>
      <c r="W21" s="103"/>
      <c r="X21" s="103">
        <v>8557</v>
      </c>
      <c r="Y21" s="103">
        <v>8554.2800000000007</v>
      </c>
      <c r="Z21" s="103">
        <f>V21</f>
        <v>9750</v>
      </c>
      <c r="AA21" s="103"/>
      <c r="AB21" s="103">
        <v>8546.24</v>
      </c>
      <c r="AC21" s="103">
        <v>8541.57</v>
      </c>
      <c r="AD21" s="103">
        <f>Z21</f>
        <v>9750</v>
      </c>
      <c r="AE21" s="103"/>
      <c r="AF21" s="103">
        <f t="shared" si="0"/>
        <v>58769</v>
      </c>
      <c r="AH21" s="6">
        <v>8566.7000000000007</v>
      </c>
      <c r="AI21" s="6">
        <v>8426.0400000000009</v>
      </c>
      <c r="AJ21" s="6">
        <v>9670.69</v>
      </c>
      <c r="AL21" s="6">
        <v>8559.5300000000007</v>
      </c>
      <c r="AM21" s="6">
        <v>8544.39</v>
      </c>
      <c r="AN21" s="6">
        <v>9662.27</v>
      </c>
      <c r="AP21" s="6">
        <v>8616.2099999999991</v>
      </c>
      <c r="AQ21" s="6">
        <v>8545.49</v>
      </c>
      <c r="AR21" s="6">
        <v>9617.2099999999991</v>
      </c>
      <c r="AT21" s="6">
        <v>8560.69</v>
      </c>
      <c r="AU21" s="6">
        <v>8545.48</v>
      </c>
      <c r="AV21" s="6">
        <v>9830.5300000000007</v>
      </c>
      <c r="AX21" s="6">
        <v>8760.2199999999993</v>
      </c>
      <c r="AY21" s="6">
        <v>8539.85</v>
      </c>
      <c r="AZ21" s="6">
        <v>13135.95</v>
      </c>
      <c r="BB21" s="6">
        <v>8506.89</v>
      </c>
      <c r="BC21" s="6">
        <v>8557.5400000000009</v>
      </c>
      <c r="BD21" s="6">
        <v>9947.76</v>
      </c>
    </row>
    <row r="22" spans="1:56" outlineLevel="2" x14ac:dyDescent="0.35">
      <c r="A22" s="2"/>
      <c r="B22" s="2"/>
      <c r="C22" s="2"/>
      <c r="D22" s="2"/>
      <c r="E22" s="2" t="s">
        <v>35</v>
      </c>
      <c r="F22" s="2"/>
      <c r="G22" s="2"/>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f t="shared" si="0"/>
        <v>0</v>
      </c>
      <c r="AH22" s="6"/>
      <c r="AI22" s="6"/>
      <c r="AJ22" s="6"/>
      <c r="AL22" s="6"/>
      <c r="AM22" s="6"/>
      <c r="AN22" s="6"/>
      <c r="AP22" s="6"/>
      <c r="AQ22" s="6"/>
      <c r="AR22" s="6"/>
      <c r="AT22" s="6"/>
      <c r="AU22" s="6"/>
      <c r="AV22" s="6"/>
      <c r="AX22" s="6"/>
      <c r="AY22" s="6"/>
      <c r="AZ22" s="6"/>
      <c r="BB22" s="6"/>
      <c r="BC22" s="6"/>
      <c r="BD22" s="6"/>
    </row>
    <row r="23" spans="1:56" outlineLevel="2" x14ac:dyDescent="0.35">
      <c r="A23" s="2"/>
      <c r="B23" s="2"/>
      <c r="C23" s="2"/>
      <c r="D23" s="2"/>
      <c r="E23" s="2"/>
      <c r="F23" s="2" t="s">
        <v>36</v>
      </c>
      <c r="G23" s="2"/>
      <c r="H23" s="103">
        <v>0</v>
      </c>
      <c r="I23" s="103">
        <v>40.93</v>
      </c>
      <c r="J23" s="103">
        <v>526</v>
      </c>
      <c r="K23" s="103"/>
      <c r="L23" s="103">
        <v>0</v>
      </c>
      <c r="M23" s="103">
        <v>572.19000000000005</v>
      </c>
      <c r="N23" s="103">
        <v>441</v>
      </c>
      <c r="O23" s="103"/>
      <c r="P23" s="103">
        <v>0</v>
      </c>
      <c r="Q23" s="103">
        <v>327.16000000000003</v>
      </c>
      <c r="R23" s="103">
        <v>-1000</v>
      </c>
      <c r="S23" s="103"/>
      <c r="T23" s="103">
        <v>1247.1500000000001</v>
      </c>
      <c r="U23" s="103">
        <v>1149.8399999999999</v>
      </c>
      <c r="V23" s="103">
        <v>0</v>
      </c>
      <c r="W23" s="103"/>
      <c r="X23" s="103">
        <v>3177.66</v>
      </c>
      <c r="Y23" s="103">
        <v>1770</v>
      </c>
      <c r="Z23" s="103">
        <v>0</v>
      </c>
      <c r="AA23" s="103"/>
      <c r="AB23" s="103">
        <v>0</v>
      </c>
      <c r="AC23" s="103">
        <v>210</v>
      </c>
      <c r="AD23" s="103">
        <v>0</v>
      </c>
      <c r="AE23" s="103"/>
      <c r="AF23" s="103">
        <f t="shared" si="0"/>
        <v>-33</v>
      </c>
      <c r="AH23" s="6">
        <v>0</v>
      </c>
      <c r="AI23" s="6">
        <v>1246.04</v>
      </c>
      <c r="AJ23" s="6">
        <v>2594.33</v>
      </c>
      <c r="AL23" s="6">
        <v>0</v>
      </c>
      <c r="AM23" s="6">
        <v>728.15</v>
      </c>
      <c r="AN23" s="6">
        <v>2044.55</v>
      </c>
      <c r="AP23" s="6">
        <v>0</v>
      </c>
      <c r="AQ23" s="6">
        <v>0</v>
      </c>
      <c r="AR23" s="6">
        <v>1165.54</v>
      </c>
      <c r="AT23" s="6">
        <v>0</v>
      </c>
      <c r="AU23" s="6">
        <v>0</v>
      </c>
      <c r="AV23" s="6">
        <v>840</v>
      </c>
      <c r="AX23" s="6">
        <v>-220.62</v>
      </c>
      <c r="AY23" s="6">
        <v>0</v>
      </c>
      <c r="AZ23" s="6">
        <v>1087.8599999999999</v>
      </c>
      <c r="BB23" s="6">
        <v>757</v>
      </c>
      <c r="BC23" s="6">
        <v>895.09</v>
      </c>
      <c r="BD23" s="6">
        <v>308.35000000000002</v>
      </c>
    </row>
    <row r="24" spans="1:56" outlineLevel="3" x14ac:dyDescent="0.35">
      <c r="A24" s="2"/>
      <c r="B24" s="2"/>
      <c r="C24" s="2"/>
      <c r="D24" s="2"/>
      <c r="E24" s="2"/>
      <c r="F24" s="2" t="s">
        <v>37</v>
      </c>
      <c r="G24" s="2"/>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f t="shared" si="0"/>
        <v>0</v>
      </c>
      <c r="AH24" s="6"/>
      <c r="AI24" s="6"/>
      <c r="AJ24" s="6"/>
      <c r="AL24" s="6"/>
      <c r="AM24" s="6"/>
      <c r="AN24" s="6"/>
      <c r="AP24" s="6"/>
      <c r="AQ24" s="6"/>
      <c r="AR24" s="6"/>
      <c r="AT24" s="6"/>
      <c r="AU24" s="6"/>
      <c r="AV24" s="6"/>
      <c r="AX24" s="6"/>
      <c r="AY24" s="6"/>
      <c r="AZ24" s="6"/>
      <c r="BB24" s="6"/>
      <c r="BC24" s="6"/>
      <c r="BD24" s="6"/>
    </row>
    <row r="25" spans="1:56" outlineLevel="3" x14ac:dyDescent="0.35">
      <c r="A25" s="2"/>
      <c r="B25" s="2"/>
      <c r="C25" s="2"/>
      <c r="D25" s="2"/>
      <c r="E25" s="2"/>
      <c r="F25" s="2"/>
      <c r="G25" s="2" t="s">
        <v>38</v>
      </c>
      <c r="H25" s="103">
        <v>2090</v>
      </c>
      <c r="I25" s="103">
        <v>0</v>
      </c>
      <c r="J25" s="103">
        <v>0</v>
      </c>
      <c r="K25" s="103"/>
      <c r="L25" s="103">
        <v>0</v>
      </c>
      <c r="M25" s="103">
        <v>0</v>
      </c>
      <c r="N25" s="103">
        <v>0</v>
      </c>
      <c r="O25" s="103"/>
      <c r="P25" s="103">
        <v>0</v>
      </c>
      <c r="Q25" s="103">
        <v>0</v>
      </c>
      <c r="R25" s="103">
        <v>0</v>
      </c>
      <c r="S25" s="103"/>
      <c r="T25" s="103">
        <v>0</v>
      </c>
      <c r="U25" s="103">
        <v>0</v>
      </c>
      <c r="V25" s="103">
        <v>0</v>
      </c>
      <c r="W25" s="103"/>
      <c r="X25" s="103">
        <v>0</v>
      </c>
      <c r="Y25" s="103">
        <v>0</v>
      </c>
      <c r="Z25" s="103">
        <v>0</v>
      </c>
      <c r="AA25" s="103"/>
      <c r="AB25" s="103">
        <v>0</v>
      </c>
      <c r="AC25" s="103">
        <v>0</v>
      </c>
      <c r="AD25" s="103">
        <v>0</v>
      </c>
      <c r="AE25" s="103"/>
      <c r="AF25" s="103">
        <f t="shared" si="0"/>
        <v>0</v>
      </c>
      <c r="AH25" s="6">
        <v>0</v>
      </c>
      <c r="AI25" s="6">
        <v>0</v>
      </c>
      <c r="AJ25" s="6">
        <v>0</v>
      </c>
      <c r="AL25" s="6">
        <v>0</v>
      </c>
      <c r="AM25" s="6">
        <v>0</v>
      </c>
      <c r="AN25" s="6">
        <v>0</v>
      </c>
      <c r="AP25" s="6">
        <v>0</v>
      </c>
      <c r="AQ25" s="6">
        <v>0</v>
      </c>
      <c r="AR25" s="6">
        <v>0</v>
      </c>
      <c r="AT25" s="6">
        <v>0</v>
      </c>
      <c r="AU25" s="6">
        <v>2095</v>
      </c>
      <c r="AV25" s="6">
        <v>0</v>
      </c>
      <c r="AX25" s="6">
        <v>0</v>
      </c>
      <c r="AY25" s="6">
        <v>0</v>
      </c>
      <c r="AZ25" s="6">
        <v>2095</v>
      </c>
      <c r="BB25" s="6">
        <v>0</v>
      </c>
      <c r="BC25" s="6">
        <v>0</v>
      </c>
      <c r="BD25" s="6">
        <v>0</v>
      </c>
    </row>
    <row r="26" spans="1:56" outlineLevel="3" x14ac:dyDescent="0.35">
      <c r="A26" s="2"/>
      <c r="B26" s="2"/>
      <c r="C26" s="2"/>
      <c r="D26" s="2"/>
      <c r="E26" s="2"/>
      <c r="F26" s="2"/>
      <c r="G26" s="2" t="s">
        <v>39</v>
      </c>
      <c r="H26" s="103">
        <v>29.95</v>
      </c>
      <c r="I26" s="103">
        <v>87.95</v>
      </c>
      <c r="J26" s="103">
        <v>16</v>
      </c>
      <c r="K26" s="103"/>
      <c r="L26" s="103">
        <v>15.95</v>
      </c>
      <c r="M26" s="103">
        <v>15.95</v>
      </c>
      <c r="N26" s="103">
        <v>46</v>
      </c>
      <c r="O26" s="103"/>
      <c r="P26" s="103">
        <v>64.95</v>
      </c>
      <c r="Q26" s="103">
        <v>15.95</v>
      </c>
      <c r="R26" s="103">
        <v>74</v>
      </c>
      <c r="S26" s="103"/>
      <c r="T26" s="103">
        <v>15.95</v>
      </c>
      <c r="U26" s="103">
        <v>15.95</v>
      </c>
      <c r="V26" s="103">
        <f>R26</f>
        <v>74</v>
      </c>
      <c r="W26" s="103"/>
      <c r="X26" s="103">
        <v>15.95</v>
      </c>
      <c r="Y26" s="103">
        <v>15.95</v>
      </c>
      <c r="Z26" s="103">
        <f>V26</f>
        <v>74</v>
      </c>
      <c r="AA26" s="103"/>
      <c r="AB26" s="103">
        <v>57.86</v>
      </c>
      <c r="AC26" s="103">
        <v>15.95</v>
      </c>
      <c r="AD26" s="103">
        <f>Z26</f>
        <v>74</v>
      </c>
      <c r="AE26" s="103"/>
      <c r="AF26" s="103">
        <f t="shared" si="0"/>
        <v>358</v>
      </c>
      <c r="AH26" s="6">
        <v>29.95</v>
      </c>
      <c r="AI26" s="6">
        <v>15.95</v>
      </c>
      <c r="AJ26" s="6">
        <v>15.95</v>
      </c>
      <c r="AL26" s="6">
        <v>29.95</v>
      </c>
      <c r="AM26" s="6">
        <v>15.95</v>
      </c>
      <c r="AN26" s="6">
        <v>15.95</v>
      </c>
      <c r="AP26" s="6">
        <v>15.95</v>
      </c>
      <c r="AQ26" s="6">
        <v>15.95</v>
      </c>
      <c r="AR26" s="6">
        <v>15.95</v>
      </c>
      <c r="AT26" s="6">
        <v>15.95</v>
      </c>
      <c r="AU26" s="6">
        <v>29.95</v>
      </c>
      <c r="AV26" s="6">
        <v>15.95</v>
      </c>
      <c r="AX26" s="6">
        <v>15.95</v>
      </c>
      <c r="AY26" s="6">
        <v>15.95</v>
      </c>
      <c r="AZ26" s="6">
        <v>45.95</v>
      </c>
      <c r="BB26" s="6">
        <v>15.95</v>
      </c>
      <c r="BC26" s="6">
        <v>124.95</v>
      </c>
      <c r="BD26" s="6">
        <v>45.95</v>
      </c>
    </row>
    <row r="27" spans="1:56" ht="15" outlineLevel="3" thickBot="1" x14ac:dyDescent="0.4">
      <c r="A27" s="2"/>
      <c r="B27" s="2"/>
      <c r="C27" s="2"/>
      <c r="D27" s="2"/>
      <c r="E27" s="2"/>
      <c r="F27" s="2"/>
      <c r="G27" s="2" t="s">
        <v>40</v>
      </c>
      <c r="H27" s="104">
        <v>0</v>
      </c>
      <c r="I27" s="104">
        <v>0</v>
      </c>
      <c r="J27" s="104">
        <v>0</v>
      </c>
      <c r="K27" s="103"/>
      <c r="L27" s="104">
        <v>0</v>
      </c>
      <c r="M27" s="104">
        <v>0</v>
      </c>
      <c r="N27" s="104">
        <v>0</v>
      </c>
      <c r="O27" s="103"/>
      <c r="P27" s="104">
        <v>0</v>
      </c>
      <c r="Q27" s="104">
        <v>0</v>
      </c>
      <c r="R27" s="104">
        <v>0</v>
      </c>
      <c r="S27" s="103"/>
      <c r="T27" s="104">
        <v>0</v>
      </c>
      <c r="U27" s="104">
        <v>0</v>
      </c>
      <c r="V27" s="104">
        <v>0</v>
      </c>
      <c r="W27" s="103"/>
      <c r="X27" s="104">
        <v>0</v>
      </c>
      <c r="Y27" s="104">
        <v>0</v>
      </c>
      <c r="Z27" s="104">
        <v>0</v>
      </c>
      <c r="AA27" s="103"/>
      <c r="AB27" s="104">
        <v>0</v>
      </c>
      <c r="AC27" s="104">
        <v>0</v>
      </c>
      <c r="AD27" s="104">
        <v>0</v>
      </c>
      <c r="AE27" s="103"/>
      <c r="AF27" s="104">
        <f t="shared" si="0"/>
        <v>0</v>
      </c>
      <c r="AH27" s="9">
        <v>0</v>
      </c>
      <c r="AI27" s="9">
        <v>0</v>
      </c>
      <c r="AJ27" s="9">
        <v>0</v>
      </c>
      <c r="AL27" s="9">
        <v>0</v>
      </c>
      <c r="AM27" s="9">
        <v>0</v>
      </c>
      <c r="AN27" s="9">
        <v>0</v>
      </c>
      <c r="AP27" s="9">
        <v>0</v>
      </c>
      <c r="AQ27" s="9">
        <v>0</v>
      </c>
      <c r="AR27" s="9">
        <v>0</v>
      </c>
      <c r="AT27" s="9">
        <v>0</v>
      </c>
      <c r="AU27" s="9">
        <v>0</v>
      </c>
      <c r="AV27" s="9">
        <v>0</v>
      </c>
      <c r="AX27" s="9">
        <v>0</v>
      </c>
      <c r="AY27" s="9">
        <v>0</v>
      </c>
      <c r="AZ27" s="9">
        <v>0</v>
      </c>
      <c r="BB27" s="9">
        <v>0</v>
      </c>
      <c r="BC27" s="9">
        <v>6.75</v>
      </c>
      <c r="BD27" s="9">
        <v>0</v>
      </c>
    </row>
    <row r="28" spans="1:56" outlineLevel="2" x14ac:dyDescent="0.35">
      <c r="A28" s="2"/>
      <c r="B28" s="2"/>
      <c r="C28" s="2"/>
      <c r="D28" s="2"/>
      <c r="E28" s="2"/>
      <c r="F28" s="2" t="s">
        <v>41</v>
      </c>
      <c r="G28" s="2"/>
      <c r="H28" s="103">
        <f>ROUND(SUM(H24:H27),5)</f>
        <v>2119.9499999999998</v>
      </c>
      <c r="I28" s="103">
        <f>ROUND(SUM(I24:I27),5)</f>
        <v>87.95</v>
      </c>
      <c r="J28" s="103">
        <f>ROUND(SUM(J24:J27),5)</f>
        <v>16</v>
      </c>
      <c r="K28" s="103"/>
      <c r="L28" s="103">
        <f>ROUND(SUM(L24:L27),5)</f>
        <v>15.95</v>
      </c>
      <c r="M28" s="103">
        <f>ROUND(SUM(M24:M27),5)</f>
        <v>15.95</v>
      </c>
      <c r="N28" s="103">
        <f>ROUND(SUM(N24:N27),5)</f>
        <v>46</v>
      </c>
      <c r="O28" s="103"/>
      <c r="P28" s="103">
        <f>ROUND(SUM(P24:P27),5)</f>
        <v>64.95</v>
      </c>
      <c r="Q28" s="103">
        <f>ROUND(SUM(Q24:Q27),5)</f>
        <v>15.95</v>
      </c>
      <c r="R28" s="103">
        <f>ROUND(SUM(R24:R27),5)</f>
        <v>74</v>
      </c>
      <c r="S28" s="103"/>
      <c r="T28" s="103">
        <f>ROUND(SUM(T24:T27),5)</f>
        <v>15.95</v>
      </c>
      <c r="U28" s="103">
        <f>ROUND(SUM(U24:U27),5)</f>
        <v>15.95</v>
      </c>
      <c r="V28" s="103">
        <f>ROUND(SUM(V24:V27),5)</f>
        <v>74</v>
      </c>
      <c r="W28" s="103"/>
      <c r="X28" s="103">
        <f>ROUND(SUM(X24:X27),5)</f>
        <v>15.95</v>
      </c>
      <c r="Y28" s="103">
        <f>ROUND(SUM(Y24:Y27),5)</f>
        <v>15.95</v>
      </c>
      <c r="Z28" s="103">
        <f>ROUND(SUM(Z24:Z27),5)</f>
        <v>74</v>
      </c>
      <c r="AA28" s="103"/>
      <c r="AB28" s="103">
        <f>ROUND(SUM(AB24:AB27),5)</f>
        <v>57.86</v>
      </c>
      <c r="AC28" s="103">
        <f>ROUND(SUM(AC24:AC27),5)</f>
        <v>15.95</v>
      </c>
      <c r="AD28" s="103">
        <f>ROUND(SUM(AD24:AD27),5)</f>
        <v>74</v>
      </c>
      <c r="AE28" s="103"/>
      <c r="AF28" s="103">
        <f t="shared" si="0"/>
        <v>358</v>
      </c>
      <c r="AH28" s="6">
        <v>29.95</v>
      </c>
      <c r="AI28" s="6">
        <v>15.95</v>
      </c>
      <c r="AJ28" s="6">
        <v>15.95</v>
      </c>
      <c r="AL28" s="6">
        <v>29.95</v>
      </c>
      <c r="AM28" s="6">
        <v>15.95</v>
      </c>
      <c r="AN28" s="6">
        <v>15.95</v>
      </c>
      <c r="AP28" s="6">
        <v>15.95</v>
      </c>
      <c r="AQ28" s="6">
        <v>15.95</v>
      </c>
      <c r="AR28" s="6">
        <v>15.95</v>
      </c>
      <c r="AT28" s="6">
        <v>15.95</v>
      </c>
      <c r="AU28" s="6">
        <v>2124.9499999999998</v>
      </c>
      <c r="AV28" s="6">
        <v>15.95</v>
      </c>
      <c r="AX28" s="6">
        <v>15.95</v>
      </c>
      <c r="AY28" s="6">
        <v>15.95</v>
      </c>
      <c r="AZ28" s="6">
        <v>2140.9499999999998</v>
      </c>
      <c r="BB28" s="6">
        <v>15.95</v>
      </c>
      <c r="BC28" s="6">
        <v>131.69999999999999</v>
      </c>
      <c r="BD28" s="6">
        <v>45.95</v>
      </c>
    </row>
    <row r="29" spans="1:56" outlineLevel="3" x14ac:dyDescent="0.35">
      <c r="A29" s="2"/>
      <c r="B29" s="2"/>
      <c r="C29" s="2"/>
      <c r="D29" s="2"/>
      <c r="E29" s="2"/>
      <c r="F29" s="2" t="s">
        <v>42</v>
      </c>
      <c r="G29" s="2"/>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f t="shared" si="0"/>
        <v>0</v>
      </c>
      <c r="AH29" s="6"/>
      <c r="AI29" s="6"/>
      <c r="AJ29" s="6"/>
      <c r="AL29" s="6"/>
      <c r="AM29" s="6"/>
      <c r="AN29" s="6"/>
      <c r="AP29" s="6"/>
      <c r="AQ29" s="6"/>
      <c r="AR29" s="6"/>
      <c r="AT29" s="6"/>
      <c r="AU29" s="6"/>
      <c r="AV29" s="6"/>
      <c r="AX29" s="6"/>
      <c r="AY29" s="6"/>
      <c r="AZ29" s="6"/>
      <c r="BB29" s="6"/>
      <c r="BC29" s="6"/>
      <c r="BD29" s="6"/>
    </row>
    <row r="30" spans="1:56" outlineLevel="3" x14ac:dyDescent="0.35">
      <c r="A30" s="2"/>
      <c r="B30" s="2"/>
      <c r="C30" s="2"/>
      <c r="D30" s="2"/>
      <c r="E30" s="2"/>
      <c r="F30" s="2"/>
      <c r="G30" s="2" t="s">
        <v>43</v>
      </c>
      <c r="H30" s="103">
        <v>871.4</v>
      </c>
      <c r="I30" s="103">
        <v>872.15</v>
      </c>
      <c r="J30" s="103">
        <v>937</v>
      </c>
      <c r="K30" s="103"/>
      <c r="L30" s="103">
        <v>56.95</v>
      </c>
      <c r="M30" s="103">
        <v>56.95</v>
      </c>
      <c r="N30" s="103">
        <v>13</v>
      </c>
      <c r="O30" s="103"/>
      <c r="P30" s="103">
        <v>131.94999999999999</v>
      </c>
      <c r="Q30" s="103">
        <v>165.64</v>
      </c>
      <c r="R30" s="103">
        <v>109</v>
      </c>
      <c r="S30" s="103"/>
      <c r="T30" s="103">
        <v>56.95</v>
      </c>
      <c r="U30" s="103">
        <v>56.95</v>
      </c>
      <c r="V30" s="103">
        <v>56.95</v>
      </c>
      <c r="W30" s="103"/>
      <c r="X30" s="103">
        <v>56.95</v>
      </c>
      <c r="Y30" s="103">
        <v>56.95</v>
      </c>
      <c r="Z30" s="103">
        <v>56.95</v>
      </c>
      <c r="AA30" s="103"/>
      <c r="AB30" s="103">
        <v>344.59</v>
      </c>
      <c r="AC30" s="103">
        <v>56.95</v>
      </c>
      <c r="AD30" s="103">
        <v>344.59</v>
      </c>
      <c r="AE30" s="103"/>
      <c r="AF30" s="103">
        <f t="shared" si="0"/>
        <v>1517.49</v>
      </c>
      <c r="AH30" s="6">
        <v>56.95</v>
      </c>
      <c r="AI30" s="6">
        <v>56.95</v>
      </c>
      <c r="AJ30" s="6">
        <v>148.24</v>
      </c>
      <c r="AL30" s="6">
        <v>1360.15</v>
      </c>
      <c r="AM30" s="6">
        <v>1360.15</v>
      </c>
      <c r="AN30" s="6">
        <v>1428.75</v>
      </c>
      <c r="AP30" s="6">
        <v>124.25</v>
      </c>
      <c r="AQ30" s="6">
        <v>56.95</v>
      </c>
      <c r="AR30" s="6">
        <v>91.69</v>
      </c>
      <c r="AT30" s="6">
        <v>56.95</v>
      </c>
      <c r="AU30" s="6">
        <v>56.95</v>
      </c>
      <c r="AV30" s="6">
        <v>15.65</v>
      </c>
      <c r="AX30" s="6">
        <v>67.760000000000005</v>
      </c>
      <c r="AY30" s="6">
        <v>67.760000000000005</v>
      </c>
      <c r="AZ30" s="6">
        <v>26.47</v>
      </c>
      <c r="BB30" s="6">
        <v>56.95</v>
      </c>
      <c r="BC30" s="6">
        <v>56.95</v>
      </c>
      <c r="BD30" s="6">
        <v>6.95</v>
      </c>
    </row>
    <row r="31" spans="1:56" ht="15" outlineLevel="3" thickBot="1" x14ac:dyDescent="0.4">
      <c r="A31" s="2"/>
      <c r="B31" s="2"/>
      <c r="C31" s="2"/>
      <c r="D31" s="2"/>
      <c r="E31" s="2"/>
      <c r="F31" s="2"/>
      <c r="G31" s="2" t="s">
        <v>44</v>
      </c>
      <c r="H31" s="104">
        <v>368.19</v>
      </c>
      <c r="I31" s="104">
        <v>372.02</v>
      </c>
      <c r="J31" s="104">
        <v>394</v>
      </c>
      <c r="K31" s="103"/>
      <c r="L31" s="104">
        <v>367.58</v>
      </c>
      <c r="M31" s="104">
        <v>371.52</v>
      </c>
      <c r="N31" s="104">
        <v>573</v>
      </c>
      <c r="O31" s="103"/>
      <c r="P31" s="104">
        <v>368.2</v>
      </c>
      <c r="Q31" s="104">
        <v>385.13</v>
      </c>
      <c r="R31" s="104">
        <v>272</v>
      </c>
      <c r="S31" s="103"/>
      <c r="T31" s="104">
        <v>362.65</v>
      </c>
      <c r="U31" s="104">
        <v>385.34</v>
      </c>
      <c r="V31" s="104">
        <v>385.34</v>
      </c>
      <c r="W31" s="103"/>
      <c r="X31" s="104">
        <v>363.05</v>
      </c>
      <c r="Y31" s="104">
        <v>277.81</v>
      </c>
      <c r="Z31" s="104">
        <v>277.81</v>
      </c>
      <c r="AA31" s="103"/>
      <c r="AB31" s="104">
        <v>481.34</v>
      </c>
      <c r="AC31" s="104">
        <v>388.38</v>
      </c>
      <c r="AD31" s="104">
        <v>481.34</v>
      </c>
      <c r="AE31" s="103"/>
      <c r="AF31" s="104">
        <f t="shared" si="0"/>
        <v>2383.4899999999998</v>
      </c>
      <c r="AH31" s="9">
        <v>342.87</v>
      </c>
      <c r="AI31" s="9">
        <v>367.93</v>
      </c>
      <c r="AJ31" s="9">
        <v>279.29000000000002</v>
      </c>
      <c r="AL31" s="9">
        <v>338.66</v>
      </c>
      <c r="AM31" s="9">
        <v>372.03</v>
      </c>
      <c r="AN31" s="9">
        <v>494.03</v>
      </c>
      <c r="AP31" s="9">
        <v>339.27</v>
      </c>
      <c r="AQ31" s="9">
        <v>373.44</v>
      </c>
      <c r="AR31" s="9">
        <v>282.39999999999998</v>
      </c>
      <c r="AT31" s="9">
        <v>362.94</v>
      </c>
      <c r="AU31" s="9">
        <v>372.36</v>
      </c>
      <c r="AV31" s="9">
        <v>384.43</v>
      </c>
      <c r="AX31" s="9">
        <v>368.05</v>
      </c>
      <c r="AY31" s="9">
        <v>370.23</v>
      </c>
      <c r="AZ31" s="9">
        <v>392.76</v>
      </c>
      <c r="BB31" s="9">
        <v>366.69</v>
      </c>
      <c r="BC31" s="9">
        <v>370.93</v>
      </c>
      <c r="BD31" s="9">
        <v>364.56</v>
      </c>
    </row>
    <row r="32" spans="1:56" outlineLevel="2" x14ac:dyDescent="0.35">
      <c r="A32" s="2"/>
      <c r="B32" s="2"/>
      <c r="C32" s="2"/>
      <c r="D32" s="2"/>
      <c r="E32" s="2"/>
      <c r="F32" s="2" t="s">
        <v>45</v>
      </c>
      <c r="G32" s="2"/>
      <c r="H32" s="103">
        <f>ROUND(SUM(H29:H31),5)</f>
        <v>1239.5899999999999</v>
      </c>
      <c r="I32" s="103">
        <f>ROUND(SUM(I29:I31),5)</f>
        <v>1244.17</v>
      </c>
      <c r="J32" s="103">
        <f>ROUND(SUM(J29:J31),5)</f>
        <v>1331</v>
      </c>
      <c r="K32" s="103"/>
      <c r="L32" s="103">
        <f>ROUND(SUM(L29:L31),5)</f>
        <v>424.53</v>
      </c>
      <c r="M32" s="103">
        <f>ROUND(SUM(M29:M31),5)</f>
        <v>428.47</v>
      </c>
      <c r="N32" s="103">
        <f>ROUND(SUM(N29:N31),5)</f>
        <v>586</v>
      </c>
      <c r="O32" s="103"/>
      <c r="P32" s="103">
        <f>ROUND(SUM(P29:P31),5)</f>
        <v>500.15</v>
      </c>
      <c r="Q32" s="103">
        <f>ROUND(SUM(Q29:Q31),5)</f>
        <v>550.77</v>
      </c>
      <c r="R32" s="103">
        <f>ROUND(SUM(R29:R31),5)</f>
        <v>381</v>
      </c>
      <c r="S32" s="103"/>
      <c r="T32" s="103">
        <f>ROUND(SUM(T29:T31),5)</f>
        <v>419.6</v>
      </c>
      <c r="U32" s="103">
        <f>ROUND(SUM(U29:U31),5)</f>
        <v>442.29</v>
      </c>
      <c r="V32" s="103">
        <f>ROUND(SUM(V29:V31),5)</f>
        <v>442.29</v>
      </c>
      <c r="W32" s="103"/>
      <c r="X32" s="103">
        <f>ROUND(SUM(X29:X31),5)</f>
        <v>420</v>
      </c>
      <c r="Y32" s="103">
        <f>ROUND(SUM(Y29:Y31),5)</f>
        <v>334.76</v>
      </c>
      <c r="Z32" s="103">
        <f>ROUND(SUM(Z29:Z31),5)</f>
        <v>334.76</v>
      </c>
      <c r="AA32" s="103"/>
      <c r="AB32" s="103">
        <f>ROUND(SUM(AB29:AB31),5)</f>
        <v>825.93</v>
      </c>
      <c r="AC32" s="103">
        <f>ROUND(SUM(AC29:AC31),5)</f>
        <v>445.33</v>
      </c>
      <c r="AD32" s="103">
        <f>ROUND(SUM(AD29:AD31),5)</f>
        <v>825.93</v>
      </c>
      <c r="AE32" s="103"/>
      <c r="AF32" s="103">
        <f t="shared" si="0"/>
        <v>3900.98</v>
      </c>
      <c r="AH32" s="6">
        <v>399.82</v>
      </c>
      <c r="AI32" s="6">
        <v>424.88</v>
      </c>
      <c r="AJ32" s="6">
        <v>427.53</v>
      </c>
      <c r="AL32" s="6">
        <v>1698.81</v>
      </c>
      <c r="AM32" s="6">
        <v>1732.18</v>
      </c>
      <c r="AN32" s="6">
        <v>1922.78</v>
      </c>
      <c r="AP32" s="6">
        <v>463.52</v>
      </c>
      <c r="AQ32" s="6">
        <v>430.39</v>
      </c>
      <c r="AR32" s="6">
        <v>374.09</v>
      </c>
      <c r="AT32" s="6">
        <v>419.89</v>
      </c>
      <c r="AU32" s="6">
        <v>429.31</v>
      </c>
      <c r="AV32" s="6">
        <v>400.08</v>
      </c>
      <c r="AX32" s="6">
        <v>435.81</v>
      </c>
      <c r="AY32" s="6">
        <v>437.99</v>
      </c>
      <c r="AZ32" s="6">
        <v>419.23</v>
      </c>
      <c r="BB32" s="6">
        <v>423.64</v>
      </c>
      <c r="BC32" s="6">
        <v>427.88</v>
      </c>
      <c r="BD32" s="6">
        <v>371.51</v>
      </c>
    </row>
    <row r="33" spans="1:56" outlineLevel="2" x14ac:dyDescent="0.35">
      <c r="A33" s="2"/>
      <c r="B33" s="2"/>
      <c r="C33" s="2"/>
      <c r="D33" s="2"/>
      <c r="E33" s="2"/>
      <c r="F33" s="2" t="s">
        <v>46</v>
      </c>
      <c r="G33" s="2"/>
      <c r="H33" s="103">
        <v>991</v>
      </c>
      <c r="I33" s="103">
        <v>0</v>
      </c>
      <c r="J33" s="103">
        <v>0</v>
      </c>
      <c r="K33" s="103"/>
      <c r="L33" s="103">
        <v>0</v>
      </c>
      <c r="M33" s="103">
        <v>0</v>
      </c>
      <c r="N33" s="103">
        <v>0</v>
      </c>
      <c r="O33" s="103"/>
      <c r="P33" s="103">
        <v>100</v>
      </c>
      <c r="Q33" s="103">
        <v>100</v>
      </c>
      <c r="R33" s="103">
        <v>100</v>
      </c>
      <c r="S33" s="103"/>
      <c r="T33" s="103">
        <v>0</v>
      </c>
      <c r="U33" s="103">
        <v>0</v>
      </c>
      <c r="V33" s="103">
        <v>0</v>
      </c>
      <c r="W33" s="103"/>
      <c r="X33" s="103">
        <v>0</v>
      </c>
      <c r="Y33" s="103">
        <v>0</v>
      </c>
      <c r="Z33" s="103">
        <v>0</v>
      </c>
      <c r="AA33" s="103"/>
      <c r="AB33" s="103">
        <v>0</v>
      </c>
      <c r="AC33" s="103">
        <v>0</v>
      </c>
      <c r="AD33" s="103">
        <v>0</v>
      </c>
      <c r="AE33" s="103"/>
      <c r="AF33" s="103">
        <f t="shared" si="0"/>
        <v>100</v>
      </c>
      <c r="AH33" s="6">
        <v>560.91999999999996</v>
      </c>
      <c r="AI33" s="6">
        <v>0</v>
      </c>
      <c r="AJ33" s="6">
        <v>0</v>
      </c>
      <c r="AL33" s="6">
        <v>560.91999999999996</v>
      </c>
      <c r="AM33" s="6">
        <v>0</v>
      </c>
      <c r="AN33" s="6">
        <v>0</v>
      </c>
      <c r="AP33" s="6">
        <v>1090.92</v>
      </c>
      <c r="AQ33" s="6">
        <v>9145</v>
      </c>
      <c r="AR33" s="6">
        <v>0</v>
      </c>
      <c r="AT33" s="6">
        <v>8609</v>
      </c>
      <c r="AU33" s="6">
        <v>0</v>
      </c>
      <c r="AV33" s="6">
        <v>10068</v>
      </c>
      <c r="AX33" s="6">
        <v>-758.48</v>
      </c>
      <c r="AY33" s="6">
        <v>100</v>
      </c>
      <c r="AZ33" s="6">
        <v>1035</v>
      </c>
      <c r="BB33" s="6">
        <v>0</v>
      </c>
      <c r="BC33" s="6">
        <v>1013</v>
      </c>
      <c r="BD33" s="6">
        <v>0</v>
      </c>
    </row>
    <row r="34" spans="1:56" outlineLevel="2" x14ac:dyDescent="0.35">
      <c r="A34" s="2"/>
      <c r="B34" s="2"/>
      <c r="C34" s="2"/>
      <c r="D34" s="2"/>
      <c r="E34" s="2"/>
      <c r="F34" s="2" t="s">
        <v>47</v>
      </c>
      <c r="G34" s="2"/>
      <c r="H34" s="103">
        <v>85.78</v>
      </c>
      <c r="I34" s="103">
        <v>171.83</v>
      </c>
      <c r="J34" s="103">
        <v>302</v>
      </c>
      <c r="K34" s="103"/>
      <c r="L34" s="103">
        <v>107.35</v>
      </c>
      <c r="M34" s="103">
        <v>16.29</v>
      </c>
      <c r="N34" s="103">
        <v>234</v>
      </c>
      <c r="O34" s="103"/>
      <c r="P34" s="103">
        <v>102.15</v>
      </c>
      <c r="Q34" s="103">
        <v>73.89</v>
      </c>
      <c r="R34" s="103">
        <v>16</v>
      </c>
      <c r="S34" s="103"/>
      <c r="T34" s="103">
        <v>318.19</v>
      </c>
      <c r="U34" s="103">
        <v>60.67</v>
      </c>
      <c r="V34" s="103">
        <v>60.67</v>
      </c>
      <c r="W34" s="103"/>
      <c r="X34" s="103">
        <v>330.85</v>
      </c>
      <c r="Y34" s="103">
        <v>16.29</v>
      </c>
      <c r="Z34" s="103">
        <v>16.29</v>
      </c>
      <c r="AA34" s="103"/>
      <c r="AB34" s="103">
        <v>265.66000000000003</v>
      </c>
      <c r="AC34" s="103">
        <v>387.18</v>
      </c>
      <c r="AD34" s="103">
        <v>265.66000000000003</v>
      </c>
      <c r="AE34" s="103"/>
      <c r="AF34" s="103">
        <f t="shared" si="0"/>
        <v>894.62000000000012</v>
      </c>
      <c r="AH34" s="6">
        <v>27.2</v>
      </c>
      <c r="AI34" s="6">
        <v>116.27</v>
      </c>
      <c r="AJ34" s="6">
        <v>188.85</v>
      </c>
      <c r="AL34" s="6">
        <v>0</v>
      </c>
      <c r="AM34" s="6">
        <v>16.27</v>
      </c>
      <c r="AN34" s="6">
        <v>341.43</v>
      </c>
      <c r="AP34" s="6">
        <v>0</v>
      </c>
      <c r="AQ34" s="6">
        <v>153.5</v>
      </c>
      <c r="AR34" s="6">
        <v>181.85</v>
      </c>
      <c r="AT34" s="6">
        <v>402.62</v>
      </c>
      <c r="AU34" s="6">
        <v>76.52</v>
      </c>
      <c r="AV34" s="6">
        <v>95.83</v>
      </c>
      <c r="AX34" s="6">
        <v>0</v>
      </c>
      <c r="AY34" s="6">
        <v>266.48</v>
      </c>
      <c r="AZ34" s="6">
        <v>16.29</v>
      </c>
      <c r="BB34" s="6">
        <v>365.55</v>
      </c>
      <c r="BC34" s="6">
        <v>16.27</v>
      </c>
      <c r="BD34" s="6">
        <v>16.29</v>
      </c>
    </row>
    <row r="35" spans="1:56" outlineLevel="2" x14ac:dyDescent="0.35">
      <c r="A35" s="2"/>
      <c r="B35" s="2"/>
      <c r="C35" s="2"/>
      <c r="D35" s="2"/>
      <c r="E35" s="2"/>
      <c r="F35" s="2" t="s">
        <v>48</v>
      </c>
      <c r="G35" s="2"/>
      <c r="H35" s="103">
        <v>508.25</v>
      </c>
      <c r="I35" s="103">
        <v>0</v>
      </c>
      <c r="J35" s="103">
        <v>500</v>
      </c>
      <c r="K35" s="103"/>
      <c r="L35" s="103">
        <v>0</v>
      </c>
      <c r="M35" s="103">
        <v>738.04</v>
      </c>
      <c r="N35" s="103">
        <v>88</v>
      </c>
      <c r="O35" s="103"/>
      <c r="P35" s="103">
        <v>74.89</v>
      </c>
      <c r="Q35" s="103">
        <v>0</v>
      </c>
      <c r="R35" s="103">
        <v>504</v>
      </c>
      <c r="S35" s="103"/>
      <c r="T35" s="103">
        <v>500</v>
      </c>
      <c r="U35" s="103">
        <v>500</v>
      </c>
      <c r="V35" s="103">
        <v>0</v>
      </c>
      <c r="W35" s="103"/>
      <c r="X35" s="103">
        <v>500</v>
      </c>
      <c r="Y35" s="103">
        <v>88.24</v>
      </c>
      <c r="Z35" s="103">
        <v>500</v>
      </c>
      <c r="AA35" s="103"/>
      <c r="AB35" s="103">
        <v>0</v>
      </c>
      <c r="AC35" s="103">
        <v>500</v>
      </c>
      <c r="AD35" s="103">
        <v>250</v>
      </c>
      <c r="AE35" s="103"/>
      <c r="AF35" s="103">
        <f t="shared" si="0"/>
        <v>1842</v>
      </c>
      <c r="AH35" s="6">
        <v>500</v>
      </c>
      <c r="AI35" s="6">
        <v>587.97</v>
      </c>
      <c r="AJ35" s="6">
        <v>0</v>
      </c>
      <c r="AL35" s="6">
        <v>0</v>
      </c>
      <c r="AM35" s="6">
        <v>0</v>
      </c>
      <c r="AN35" s="6">
        <v>88.24</v>
      </c>
      <c r="AP35" s="6">
        <v>607.35</v>
      </c>
      <c r="AQ35" s="6">
        <v>500</v>
      </c>
      <c r="AR35" s="6">
        <v>500</v>
      </c>
      <c r="AT35" s="6">
        <v>0</v>
      </c>
      <c r="AU35" s="6">
        <v>87.97</v>
      </c>
      <c r="AV35" s="6">
        <v>0</v>
      </c>
      <c r="AX35" s="6">
        <v>500</v>
      </c>
      <c r="AY35" s="6">
        <v>88.16</v>
      </c>
      <c r="AZ35" s="6">
        <v>588.24</v>
      </c>
      <c r="BB35" s="6">
        <v>81.67</v>
      </c>
      <c r="BC35" s="6">
        <v>500</v>
      </c>
      <c r="BD35" s="6">
        <v>0</v>
      </c>
    </row>
    <row r="36" spans="1:56" outlineLevel="3" x14ac:dyDescent="0.35">
      <c r="A36" s="2"/>
      <c r="B36" s="2"/>
      <c r="C36" s="2"/>
      <c r="D36" s="2"/>
      <c r="E36" s="2"/>
      <c r="F36" s="2" t="s">
        <v>49</v>
      </c>
      <c r="G36" s="2"/>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f t="shared" si="0"/>
        <v>0</v>
      </c>
      <c r="AH36" s="6"/>
      <c r="AI36" s="6"/>
      <c r="AJ36" s="6"/>
      <c r="AL36" s="6"/>
      <c r="AM36" s="6"/>
      <c r="AN36" s="6"/>
      <c r="AP36" s="6"/>
      <c r="AQ36" s="6"/>
      <c r="AR36" s="6"/>
      <c r="AT36" s="6"/>
      <c r="AU36" s="6"/>
      <c r="AV36" s="6"/>
      <c r="AX36" s="6"/>
      <c r="AY36" s="6"/>
      <c r="AZ36" s="6"/>
      <c r="BB36" s="6"/>
      <c r="BC36" s="6"/>
      <c r="BD36" s="6"/>
    </row>
    <row r="37" spans="1:56" ht="15" outlineLevel="3" thickBot="1" x14ac:dyDescent="0.4">
      <c r="A37" s="2"/>
      <c r="B37" s="2"/>
      <c r="C37" s="2"/>
      <c r="D37" s="2"/>
      <c r="E37" s="2"/>
      <c r="F37" s="2"/>
      <c r="G37" s="2" t="s">
        <v>50</v>
      </c>
      <c r="H37" s="103">
        <v>6.52</v>
      </c>
      <c r="I37" s="103">
        <v>0</v>
      </c>
      <c r="J37" s="103">
        <v>0</v>
      </c>
      <c r="K37" s="103"/>
      <c r="L37" s="103">
        <v>0</v>
      </c>
      <c r="M37" s="103">
        <v>620</v>
      </c>
      <c r="N37" s="103">
        <v>0</v>
      </c>
      <c r="O37" s="103"/>
      <c r="P37" s="103">
        <v>0</v>
      </c>
      <c r="Q37" s="103">
        <v>0</v>
      </c>
      <c r="R37" s="103">
        <v>0</v>
      </c>
      <c r="S37" s="103"/>
      <c r="T37" s="103">
        <v>0</v>
      </c>
      <c r="U37" s="103">
        <v>0</v>
      </c>
      <c r="V37" s="103">
        <v>200</v>
      </c>
      <c r="W37" s="103"/>
      <c r="X37" s="103">
        <v>0</v>
      </c>
      <c r="Y37" s="103">
        <v>0</v>
      </c>
      <c r="Z37" s="103">
        <v>200</v>
      </c>
      <c r="AA37" s="103"/>
      <c r="AB37" s="103">
        <v>0</v>
      </c>
      <c r="AC37" s="103">
        <v>270</v>
      </c>
      <c r="AD37" s="103">
        <v>0</v>
      </c>
      <c r="AE37" s="103"/>
      <c r="AF37" s="103">
        <f t="shared" si="0"/>
        <v>400</v>
      </c>
      <c r="AH37" s="6">
        <v>100</v>
      </c>
      <c r="AI37" s="6">
        <v>237.47</v>
      </c>
      <c r="AJ37" s="6">
        <v>0</v>
      </c>
      <c r="AL37" s="6">
        <v>0</v>
      </c>
      <c r="AM37" s="6">
        <v>0</v>
      </c>
      <c r="AN37" s="6">
        <v>0</v>
      </c>
      <c r="AP37" s="6">
        <v>0</v>
      </c>
      <c r="AQ37" s="6">
        <v>0</v>
      </c>
      <c r="AR37" s="6">
        <v>0</v>
      </c>
      <c r="AT37" s="6">
        <v>0</v>
      </c>
      <c r="AU37" s="6">
        <v>0</v>
      </c>
      <c r="AV37" s="6">
        <v>11</v>
      </c>
      <c r="AX37" s="6">
        <v>42</v>
      </c>
      <c r="AY37" s="6">
        <v>42</v>
      </c>
      <c r="AZ37" s="6">
        <v>42</v>
      </c>
      <c r="BB37" s="6">
        <v>0</v>
      </c>
      <c r="BC37" s="6">
        <v>110.1</v>
      </c>
      <c r="BD37" s="6">
        <v>0</v>
      </c>
    </row>
    <row r="38" spans="1:56" ht="15" outlineLevel="2" thickBot="1" x14ac:dyDescent="0.4">
      <c r="A38" s="2"/>
      <c r="B38" s="2"/>
      <c r="C38" s="2"/>
      <c r="D38" s="2"/>
      <c r="E38" s="2"/>
      <c r="F38" s="2" t="s">
        <v>52</v>
      </c>
      <c r="G38" s="2"/>
      <c r="H38" s="105">
        <f>ROUND(SUM(H36:H37),5)</f>
        <v>6.52</v>
      </c>
      <c r="I38" s="105">
        <f>ROUND(SUM(I36:I37),5)</f>
        <v>0</v>
      </c>
      <c r="J38" s="105">
        <f>ROUND(SUM(J36:J37),5)</f>
        <v>0</v>
      </c>
      <c r="K38" s="103"/>
      <c r="L38" s="105">
        <f>ROUND(SUM(L36:L37),5)</f>
        <v>0</v>
      </c>
      <c r="M38" s="105">
        <f>ROUND(SUM(M36:M37),5)</f>
        <v>620</v>
      </c>
      <c r="N38" s="105">
        <f>ROUND(SUM(N36:N37),5)</f>
        <v>0</v>
      </c>
      <c r="O38" s="103"/>
      <c r="P38" s="105">
        <f>ROUND(SUM(P36:P37),5)</f>
        <v>0</v>
      </c>
      <c r="Q38" s="105">
        <f>ROUND(SUM(Q36:Q37),5)</f>
        <v>0</v>
      </c>
      <c r="R38" s="105">
        <f>ROUND(SUM(R36:R37),5)</f>
        <v>0</v>
      </c>
      <c r="S38" s="103"/>
      <c r="T38" s="105">
        <f>ROUND(SUM(T36:T37),5)</f>
        <v>0</v>
      </c>
      <c r="U38" s="105">
        <f>ROUND(SUM(U36:U37),5)</f>
        <v>0</v>
      </c>
      <c r="V38" s="105">
        <f>ROUND(SUM(V36:V37),5)</f>
        <v>200</v>
      </c>
      <c r="W38" s="103"/>
      <c r="X38" s="105">
        <f>ROUND(SUM(X36:X37),5)</f>
        <v>0</v>
      </c>
      <c r="Y38" s="105">
        <f>ROUND(SUM(Y36:Y37),5)</f>
        <v>0</v>
      </c>
      <c r="Z38" s="105">
        <f>ROUND(SUM(Z36:Z37),5)</f>
        <v>200</v>
      </c>
      <c r="AA38" s="103"/>
      <c r="AB38" s="105">
        <f>ROUND(SUM(AB36:AB37),5)</f>
        <v>0</v>
      </c>
      <c r="AC38" s="105">
        <f>ROUND(SUM(AC36:AC37),5)</f>
        <v>270</v>
      </c>
      <c r="AD38" s="105">
        <f>ROUND(SUM(AD36:AD37),5)</f>
        <v>0</v>
      </c>
      <c r="AE38" s="103"/>
      <c r="AF38" s="105">
        <f t="shared" si="0"/>
        <v>400</v>
      </c>
      <c r="AH38" s="11">
        <v>100</v>
      </c>
      <c r="AI38" s="11">
        <v>237.47</v>
      </c>
      <c r="AJ38" s="11">
        <v>0</v>
      </c>
      <c r="AL38" s="11">
        <v>0</v>
      </c>
      <c r="AM38" s="11">
        <v>0</v>
      </c>
      <c r="AN38" s="11">
        <v>0</v>
      </c>
      <c r="AP38" s="11">
        <v>0</v>
      </c>
      <c r="AQ38" s="11">
        <v>0</v>
      </c>
      <c r="AR38" s="11">
        <v>0</v>
      </c>
      <c r="AT38" s="11">
        <v>0</v>
      </c>
      <c r="AU38" s="11">
        <v>0</v>
      </c>
      <c r="AV38" s="11">
        <v>11</v>
      </c>
      <c r="AX38" s="11">
        <v>42</v>
      </c>
      <c r="AY38" s="11">
        <v>42</v>
      </c>
      <c r="AZ38" s="11">
        <v>42</v>
      </c>
      <c r="BB38" s="11">
        <v>0</v>
      </c>
      <c r="BC38" s="11">
        <v>110.1</v>
      </c>
      <c r="BD38" s="11">
        <v>0</v>
      </c>
    </row>
    <row r="39" spans="1:56" outlineLevel="1" x14ac:dyDescent="0.35">
      <c r="A39" s="2"/>
      <c r="B39" s="2"/>
      <c r="C39" s="2"/>
      <c r="D39" s="2"/>
      <c r="E39" s="2" t="s">
        <v>53</v>
      </c>
      <c r="F39" s="2"/>
      <c r="G39" s="2"/>
      <c r="H39" s="103">
        <f>ROUND(SUM(H22:H23)+H28+SUM(H32:H35)+H38,5)</f>
        <v>4951.09</v>
      </c>
      <c r="I39" s="103">
        <f>ROUND(SUM(I22:I23)+I28+SUM(I32:I35)+I38,5)</f>
        <v>1544.88</v>
      </c>
      <c r="J39" s="103">
        <f>ROUND(SUM(J22:J23)+J28+SUM(J32:J35)+J38,5)</f>
        <v>2675</v>
      </c>
      <c r="K39" s="103"/>
      <c r="L39" s="103">
        <f>ROUND(SUM(L22:L23)+L28+SUM(L32:L35)+L38,5)</f>
        <v>547.83000000000004</v>
      </c>
      <c r="M39" s="103">
        <f>ROUND(SUM(M22:M23)+M28+SUM(M32:M35)+M38,5)</f>
        <v>2390.94</v>
      </c>
      <c r="N39" s="103">
        <f>ROUND(SUM(N22:N23)+N28+SUM(N32:N35)+N38,5)</f>
        <v>1395</v>
      </c>
      <c r="O39" s="103"/>
      <c r="P39" s="103">
        <f>ROUND(SUM(P22:P23)+P28+SUM(P32:P35)+P38,5)</f>
        <v>842.14</v>
      </c>
      <c r="Q39" s="103">
        <f>ROUND(SUM(Q22:Q23)+Q28+SUM(Q32:Q35)+Q38,5)</f>
        <v>1067.77</v>
      </c>
      <c r="R39" s="103">
        <f>ROUND(SUM(R22:R23)+R28+SUM(R32:R35)+R38,5)</f>
        <v>75</v>
      </c>
      <c r="S39" s="103"/>
      <c r="T39" s="103">
        <f>ROUND(SUM(T22:T23)+T28+SUM(T32:T35)+T38,5)</f>
        <v>2500.89</v>
      </c>
      <c r="U39" s="103">
        <f>ROUND(SUM(U22:U23)+U28+SUM(U32:U35)+U38,5)</f>
        <v>2168.75</v>
      </c>
      <c r="V39" s="103">
        <f>ROUND(SUM(V22:V23)+V28+SUM(V32:V35)+V38,5)</f>
        <v>776.96</v>
      </c>
      <c r="W39" s="103"/>
      <c r="X39" s="103">
        <f>ROUND(SUM(X22:X23)+X28+SUM(X32:X35)+X38,5)</f>
        <v>4444.46</v>
      </c>
      <c r="Y39" s="103">
        <f>ROUND(SUM(Y22:Y23)+Y28+SUM(Y32:Y35)+Y38,5)</f>
        <v>2225.2399999999998</v>
      </c>
      <c r="Z39" s="103">
        <f>ROUND(SUM(Z22:Z23)+Z28+SUM(Z32:Z35)+Z38,5)</f>
        <v>1125.05</v>
      </c>
      <c r="AA39" s="103"/>
      <c r="AB39" s="103">
        <f>ROUND(SUM(AB22:AB23)+AB28+SUM(AB32:AB35)+AB38,5)</f>
        <v>1149.45</v>
      </c>
      <c r="AC39" s="103">
        <f>ROUND(SUM(AC22:AC23)+AC28+SUM(AC32:AC35)+AC38,5)</f>
        <v>1828.46</v>
      </c>
      <c r="AD39" s="103">
        <f>ROUND(SUM(AD22:AD23)+AD28+SUM(AD32:AD35)+AD38,5)</f>
        <v>1415.59</v>
      </c>
      <c r="AE39" s="103"/>
      <c r="AF39" s="103">
        <f t="shared" si="0"/>
        <v>7462.6</v>
      </c>
      <c r="AH39" s="6">
        <v>1617.89</v>
      </c>
      <c r="AI39" s="6">
        <v>2628.58</v>
      </c>
      <c r="AJ39" s="6">
        <v>3226.66</v>
      </c>
      <c r="AL39" s="6">
        <v>2289.6799999999998</v>
      </c>
      <c r="AM39" s="6">
        <v>2492.5500000000002</v>
      </c>
      <c r="AN39" s="6">
        <v>4412.95</v>
      </c>
      <c r="AP39" s="6">
        <v>2177.7399999999998</v>
      </c>
      <c r="AQ39" s="6">
        <v>10244.84</v>
      </c>
      <c r="AR39" s="6">
        <v>2237.4299999999998</v>
      </c>
      <c r="AT39" s="6">
        <v>9447.4599999999991</v>
      </c>
      <c r="AU39" s="6">
        <v>2718.75</v>
      </c>
      <c r="AV39" s="6">
        <v>11430.86</v>
      </c>
      <c r="AX39" s="6">
        <v>14.66</v>
      </c>
      <c r="AY39" s="6">
        <v>950.58</v>
      </c>
      <c r="AZ39" s="6">
        <v>5329.57</v>
      </c>
      <c r="BB39" s="6">
        <v>1643.81</v>
      </c>
      <c r="BC39" s="6">
        <v>3094.04</v>
      </c>
      <c r="BD39" s="6">
        <v>742.1</v>
      </c>
    </row>
    <row r="40" spans="1:56" outlineLevel="2" x14ac:dyDescent="0.35">
      <c r="A40" s="2"/>
      <c r="B40" s="2"/>
      <c r="C40" s="2"/>
      <c r="D40" s="2"/>
      <c r="E40" s="2" t="s">
        <v>54</v>
      </c>
      <c r="F40" s="2"/>
      <c r="G40" s="2"/>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f t="shared" si="0"/>
        <v>0</v>
      </c>
      <c r="AH40" s="6"/>
      <c r="AI40" s="6"/>
      <c r="AJ40" s="6"/>
      <c r="AL40" s="6"/>
      <c r="AM40" s="6"/>
      <c r="AN40" s="6"/>
      <c r="AP40" s="6"/>
      <c r="AQ40" s="6"/>
      <c r="AR40" s="6"/>
      <c r="AT40" s="6"/>
      <c r="AU40" s="6"/>
      <c r="AV40" s="6"/>
      <c r="AX40" s="6"/>
      <c r="AY40" s="6"/>
      <c r="AZ40" s="6"/>
      <c r="BB40" s="6"/>
      <c r="BC40" s="6"/>
      <c r="BD40" s="6"/>
    </row>
    <row r="41" spans="1:56" outlineLevel="2" x14ac:dyDescent="0.35">
      <c r="A41" s="2"/>
      <c r="B41" s="2"/>
      <c r="C41" s="2"/>
      <c r="D41" s="2"/>
      <c r="E41" s="2"/>
      <c r="F41" s="2" t="s">
        <v>55</v>
      </c>
      <c r="G41" s="2"/>
      <c r="H41" s="103">
        <v>0</v>
      </c>
      <c r="I41" s="103">
        <v>0</v>
      </c>
      <c r="J41" s="103">
        <v>0</v>
      </c>
      <c r="K41" s="103"/>
      <c r="L41" s="103">
        <v>0</v>
      </c>
      <c r="M41" s="103">
        <v>1740</v>
      </c>
      <c r="N41" s="103">
        <v>0</v>
      </c>
      <c r="O41" s="103"/>
      <c r="P41" s="103">
        <v>0</v>
      </c>
      <c r="Q41" s="103">
        <v>0</v>
      </c>
      <c r="R41" s="103">
        <v>0</v>
      </c>
      <c r="S41" s="103"/>
      <c r="T41" s="103">
        <v>0</v>
      </c>
      <c r="U41" s="103">
        <v>0</v>
      </c>
      <c r="V41" s="103">
        <v>0</v>
      </c>
      <c r="W41" s="103"/>
      <c r="X41" s="103">
        <v>0</v>
      </c>
      <c r="Y41" s="103">
        <v>0</v>
      </c>
      <c r="Z41" s="103">
        <v>0</v>
      </c>
      <c r="AA41" s="103"/>
      <c r="AB41" s="103">
        <v>0</v>
      </c>
      <c r="AC41" s="103">
        <v>0</v>
      </c>
      <c r="AD41" s="103">
        <v>0</v>
      </c>
      <c r="AE41" s="103"/>
      <c r="AF41" s="103">
        <f t="shared" si="0"/>
        <v>0</v>
      </c>
      <c r="AH41" s="6">
        <v>0</v>
      </c>
      <c r="AI41" s="6">
        <v>0</v>
      </c>
      <c r="AJ41" s="6">
        <v>0</v>
      </c>
      <c r="AL41" s="6">
        <v>0</v>
      </c>
      <c r="AM41" s="6">
        <v>0</v>
      </c>
      <c r="AN41" s="6">
        <v>0</v>
      </c>
      <c r="AP41" s="6">
        <v>0</v>
      </c>
      <c r="AQ41" s="6">
        <v>757.23</v>
      </c>
      <c r="AR41" s="6">
        <v>0</v>
      </c>
      <c r="AT41" s="6">
        <v>0</v>
      </c>
      <c r="AU41" s="6">
        <v>0</v>
      </c>
      <c r="AV41" s="6">
        <v>0</v>
      </c>
      <c r="AX41" s="6">
        <v>0</v>
      </c>
      <c r="AY41" s="6">
        <v>0</v>
      </c>
      <c r="AZ41" s="6">
        <v>0</v>
      </c>
      <c r="BB41" s="6">
        <v>0</v>
      </c>
      <c r="BC41" s="6">
        <v>0</v>
      </c>
      <c r="BD41" s="6">
        <v>0</v>
      </c>
    </row>
    <row r="42" spans="1:56" outlineLevel="2" x14ac:dyDescent="0.35">
      <c r="A42" s="2"/>
      <c r="B42" s="2"/>
      <c r="C42" s="2"/>
      <c r="D42" s="2"/>
      <c r="E42" s="2"/>
      <c r="F42" s="2" t="s">
        <v>56</v>
      </c>
      <c r="G42" s="2"/>
      <c r="H42" s="103">
        <v>492</v>
      </c>
      <c r="I42" s="103">
        <v>77</v>
      </c>
      <c r="J42" s="103">
        <v>127</v>
      </c>
      <c r="K42" s="103"/>
      <c r="L42" s="103">
        <v>118.42</v>
      </c>
      <c r="M42" s="103">
        <v>77</v>
      </c>
      <c r="N42" s="103">
        <v>959</v>
      </c>
      <c r="O42" s="103"/>
      <c r="P42" s="103">
        <v>238.3</v>
      </c>
      <c r="Q42" s="103">
        <v>273.8</v>
      </c>
      <c r="R42" s="103">
        <v>196</v>
      </c>
      <c r="S42" s="103"/>
      <c r="T42" s="103">
        <v>77</v>
      </c>
      <c r="U42" s="103">
        <v>77</v>
      </c>
      <c r="V42" s="103">
        <v>77</v>
      </c>
      <c r="W42" s="103"/>
      <c r="X42" s="103">
        <v>367</v>
      </c>
      <c r="Y42" s="103">
        <v>244.8</v>
      </c>
      <c r="Z42" s="103">
        <v>244.8</v>
      </c>
      <c r="AA42" s="103"/>
      <c r="AB42" s="103">
        <v>543.69000000000005</v>
      </c>
      <c r="AC42" s="103">
        <v>106</v>
      </c>
      <c r="AD42" s="103">
        <v>543.69000000000005</v>
      </c>
      <c r="AE42" s="103"/>
      <c r="AF42" s="103">
        <f t="shared" si="0"/>
        <v>2147.4899999999998</v>
      </c>
      <c r="AH42" s="6">
        <v>30</v>
      </c>
      <c r="AI42" s="6">
        <v>320</v>
      </c>
      <c r="AJ42" s="6">
        <v>454.4</v>
      </c>
      <c r="AL42" s="6">
        <v>437</v>
      </c>
      <c r="AM42" s="6">
        <v>155.5</v>
      </c>
      <c r="AN42" s="6">
        <v>269.8</v>
      </c>
      <c r="AP42" s="6">
        <v>234.3</v>
      </c>
      <c r="AQ42" s="6">
        <v>665.75</v>
      </c>
      <c r="AR42" s="6">
        <v>292.47000000000003</v>
      </c>
      <c r="AT42" s="6">
        <v>482</v>
      </c>
      <c r="AU42" s="6">
        <v>107</v>
      </c>
      <c r="AV42" s="6">
        <v>229</v>
      </c>
      <c r="AX42" s="6">
        <v>327</v>
      </c>
      <c r="AY42" s="6">
        <v>77</v>
      </c>
      <c r="AZ42" s="6">
        <v>328.8</v>
      </c>
      <c r="BB42" s="6">
        <v>258.39999999999998</v>
      </c>
      <c r="BC42" s="6">
        <v>244.8</v>
      </c>
      <c r="BD42" s="6">
        <v>492</v>
      </c>
    </row>
    <row r="43" spans="1:56" outlineLevel="3" x14ac:dyDescent="0.35">
      <c r="A43" s="2"/>
      <c r="B43" s="2"/>
      <c r="C43" s="2"/>
      <c r="D43" s="2"/>
      <c r="E43" s="2"/>
      <c r="F43" s="2" t="s">
        <v>57</v>
      </c>
      <c r="G43" s="2"/>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f t="shared" si="0"/>
        <v>0</v>
      </c>
      <c r="AH43" s="6"/>
      <c r="AI43" s="6"/>
      <c r="AJ43" s="6"/>
      <c r="AL43" s="6"/>
      <c r="AM43" s="6"/>
      <c r="AN43" s="6"/>
      <c r="AP43" s="6"/>
      <c r="AQ43" s="6"/>
      <c r="AR43" s="6"/>
      <c r="AT43" s="6"/>
      <c r="AU43" s="6"/>
      <c r="AV43" s="6"/>
      <c r="AX43" s="6"/>
      <c r="AY43" s="6"/>
      <c r="AZ43" s="6"/>
      <c r="BB43" s="6"/>
      <c r="BC43" s="6"/>
      <c r="BD43" s="6"/>
    </row>
    <row r="44" spans="1:56" outlineLevel="3" x14ac:dyDescent="0.35">
      <c r="A44" s="2"/>
      <c r="B44" s="2"/>
      <c r="C44" s="2"/>
      <c r="D44" s="2"/>
      <c r="E44" s="2"/>
      <c r="F44" s="2"/>
      <c r="G44" s="2" t="s">
        <v>58</v>
      </c>
      <c r="H44" s="103">
        <v>815.38</v>
      </c>
      <c r="I44" s="103">
        <v>1043.1600000000001</v>
      </c>
      <c r="J44" s="103">
        <v>1228</v>
      </c>
      <c r="K44" s="103"/>
      <c r="L44" s="103">
        <v>758.54</v>
      </c>
      <c r="M44" s="103">
        <v>1151.54</v>
      </c>
      <c r="N44" s="103">
        <v>1080</v>
      </c>
      <c r="O44" s="103"/>
      <c r="P44" s="103">
        <v>753.23</v>
      </c>
      <c r="Q44" s="103">
        <v>1144.8900000000001</v>
      </c>
      <c r="R44" s="103">
        <v>1324</v>
      </c>
      <c r="S44" s="103"/>
      <c r="T44" s="103">
        <v>792.9</v>
      </c>
      <c r="U44" s="103">
        <v>919.38</v>
      </c>
      <c r="V44" s="103">
        <v>1250</v>
      </c>
      <c r="W44" s="103"/>
      <c r="X44" s="103">
        <v>913.11</v>
      </c>
      <c r="Y44" s="103">
        <v>867.72</v>
      </c>
      <c r="Z44" s="103">
        <v>1250</v>
      </c>
      <c r="AA44" s="103"/>
      <c r="AB44" s="103">
        <v>1036.43</v>
      </c>
      <c r="AC44" s="103">
        <v>1251.94</v>
      </c>
      <c r="AD44" s="103">
        <v>1300</v>
      </c>
      <c r="AE44" s="103"/>
      <c r="AF44" s="103">
        <f t="shared" si="0"/>
        <v>7432</v>
      </c>
      <c r="AH44" s="6">
        <v>1260.1500000000001</v>
      </c>
      <c r="AI44" s="6">
        <v>1897.14</v>
      </c>
      <c r="AJ44" s="6">
        <v>731.04</v>
      </c>
      <c r="AL44" s="6">
        <v>1281.95</v>
      </c>
      <c r="AM44" s="6">
        <v>1378.72</v>
      </c>
      <c r="AN44" s="6">
        <v>794.65</v>
      </c>
      <c r="AP44" s="6">
        <v>786.92</v>
      </c>
      <c r="AQ44" s="6">
        <v>1322.6</v>
      </c>
      <c r="AR44" s="6">
        <v>2669.01</v>
      </c>
      <c r="AT44" s="6">
        <v>693.81</v>
      </c>
      <c r="AU44" s="6">
        <v>707.5</v>
      </c>
      <c r="AV44" s="6">
        <v>883.67</v>
      </c>
      <c r="AX44" s="6">
        <v>655.1</v>
      </c>
      <c r="AY44" s="6">
        <v>807.73</v>
      </c>
      <c r="AZ44" s="6">
        <v>1009.72</v>
      </c>
      <c r="BB44" s="6">
        <v>1124.3</v>
      </c>
      <c r="BC44" s="6">
        <v>1075.3800000000001</v>
      </c>
      <c r="BD44" s="6">
        <v>1113.24</v>
      </c>
    </row>
    <row r="45" spans="1:56" ht="15" outlineLevel="3" thickBot="1" x14ac:dyDescent="0.4">
      <c r="A45" s="2"/>
      <c r="B45" s="2"/>
      <c r="C45" s="2"/>
      <c r="D45" s="2"/>
      <c r="E45" s="2"/>
      <c r="F45" s="2"/>
      <c r="G45" s="2" t="s">
        <v>59</v>
      </c>
      <c r="H45" s="104">
        <v>0</v>
      </c>
      <c r="I45" s="104">
        <v>0</v>
      </c>
      <c r="J45" s="104">
        <v>0</v>
      </c>
      <c r="K45" s="103"/>
      <c r="L45" s="104">
        <v>0</v>
      </c>
      <c r="M45" s="104">
        <v>0</v>
      </c>
      <c r="N45" s="104">
        <v>519</v>
      </c>
      <c r="O45" s="103"/>
      <c r="P45" s="104">
        <v>209.67</v>
      </c>
      <c r="Q45" s="104">
        <v>315.77999999999997</v>
      </c>
      <c r="R45" s="104">
        <v>0</v>
      </c>
      <c r="S45" s="103"/>
      <c r="T45" s="104">
        <v>0</v>
      </c>
      <c r="U45" s="104">
        <v>0</v>
      </c>
      <c r="V45" s="104">
        <v>0</v>
      </c>
      <c r="W45" s="103"/>
      <c r="X45" s="104">
        <v>485.09</v>
      </c>
      <c r="Y45" s="104">
        <v>0</v>
      </c>
      <c r="Z45" s="104">
        <v>0</v>
      </c>
      <c r="AA45" s="103"/>
      <c r="AB45" s="104">
        <v>0</v>
      </c>
      <c r="AC45" s="104">
        <v>0</v>
      </c>
      <c r="AD45" s="104">
        <v>0</v>
      </c>
      <c r="AE45" s="103"/>
      <c r="AF45" s="104">
        <f t="shared" ref="AF45" si="1">AD45+Z45+V45+R45+N45+J45</f>
        <v>519</v>
      </c>
      <c r="AH45" s="9">
        <v>0</v>
      </c>
      <c r="AI45" s="9">
        <v>0</v>
      </c>
      <c r="AJ45" s="9">
        <v>0</v>
      </c>
      <c r="AL45" s="9">
        <v>0</v>
      </c>
      <c r="AM45" s="9">
        <v>0</v>
      </c>
      <c r="AN45" s="9">
        <v>0</v>
      </c>
      <c r="AP45" s="9">
        <v>0</v>
      </c>
      <c r="AQ45" s="9">
        <v>10</v>
      </c>
      <c r="AR45" s="9">
        <v>0</v>
      </c>
      <c r="AT45" s="9">
        <v>0</v>
      </c>
      <c r="AU45" s="9">
        <v>266.51</v>
      </c>
      <c r="AV45" s="9">
        <v>0</v>
      </c>
      <c r="AX45" s="9">
        <v>0</v>
      </c>
      <c r="AY45" s="9">
        <v>0</v>
      </c>
      <c r="AZ45" s="9">
        <v>0</v>
      </c>
      <c r="BB45" s="9">
        <v>0</v>
      </c>
      <c r="BC45" s="9">
        <v>0</v>
      </c>
      <c r="BD45" s="9">
        <v>0</v>
      </c>
    </row>
    <row r="46" spans="1:56" ht="15" outlineLevel="3" thickBot="1" x14ac:dyDescent="0.4">
      <c r="A46" s="2"/>
      <c r="B46" s="2"/>
      <c r="C46" s="2"/>
      <c r="D46" s="2"/>
      <c r="E46" s="2"/>
      <c r="F46" s="2"/>
      <c r="G46" s="2" t="s">
        <v>60</v>
      </c>
      <c r="H46" s="104">
        <v>0</v>
      </c>
      <c r="I46" s="104">
        <v>0</v>
      </c>
      <c r="J46" s="104">
        <v>14</v>
      </c>
      <c r="K46" s="103"/>
      <c r="L46" s="104">
        <v>0</v>
      </c>
      <c r="M46" s="104">
        <v>0</v>
      </c>
      <c r="N46" s="104">
        <v>14</v>
      </c>
      <c r="O46" s="103"/>
      <c r="P46" s="104">
        <v>0</v>
      </c>
      <c r="Q46" s="104">
        <v>0</v>
      </c>
      <c r="R46" s="104">
        <v>14</v>
      </c>
      <c r="S46" s="103"/>
      <c r="T46" s="104">
        <v>0</v>
      </c>
      <c r="U46" s="104">
        <v>0</v>
      </c>
      <c r="V46" s="104">
        <v>14</v>
      </c>
      <c r="W46" s="103"/>
      <c r="X46" s="104">
        <v>0</v>
      </c>
      <c r="Y46" s="104">
        <v>0</v>
      </c>
      <c r="Z46" s="104">
        <v>14</v>
      </c>
      <c r="AA46" s="103"/>
      <c r="AB46" s="104">
        <v>0</v>
      </c>
      <c r="AC46" s="104">
        <v>0</v>
      </c>
      <c r="AD46" s="104">
        <v>14</v>
      </c>
      <c r="AE46" s="103"/>
      <c r="AF46" s="104">
        <f t="shared" si="0"/>
        <v>84</v>
      </c>
      <c r="AH46" s="9">
        <v>0</v>
      </c>
      <c r="AI46" s="9">
        <v>0</v>
      </c>
      <c r="AJ46" s="9">
        <v>0</v>
      </c>
      <c r="AL46" s="9">
        <v>0</v>
      </c>
      <c r="AM46" s="9">
        <v>0</v>
      </c>
      <c r="AN46" s="9">
        <v>0</v>
      </c>
      <c r="AP46" s="9">
        <v>0</v>
      </c>
      <c r="AQ46" s="9">
        <v>10</v>
      </c>
      <c r="AR46" s="9">
        <v>0</v>
      </c>
      <c r="AT46" s="9">
        <v>0</v>
      </c>
      <c r="AU46" s="9">
        <v>266.51</v>
      </c>
      <c r="AV46" s="9">
        <v>0</v>
      </c>
      <c r="AX46" s="9">
        <v>0</v>
      </c>
      <c r="AY46" s="9">
        <v>0</v>
      </c>
      <c r="AZ46" s="9">
        <v>0</v>
      </c>
      <c r="BB46" s="9">
        <v>0</v>
      </c>
      <c r="BC46" s="9">
        <v>0</v>
      </c>
      <c r="BD46" s="9">
        <v>0</v>
      </c>
    </row>
    <row r="47" spans="1:56" outlineLevel="2" x14ac:dyDescent="0.35">
      <c r="A47" s="2"/>
      <c r="B47" s="2"/>
      <c r="C47" s="2"/>
      <c r="D47" s="2"/>
      <c r="E47" s="2"/>
      <c r="F47" s="2" t="s">
        <v>61</v>
      </c>
      <c r="G47" s="2"/>
      <c r="H47" s="103">
        <f>ROUND(SUM(H43:H46),5)</f>
        <v>815.38</v>
      </c>
      <c r="I47" s="103">
        <f>ROUND(SUM(I43:I46),5)</f>
        <v>1043.1600000000001</v>
      </c>
      <c r="J47" s="103">
        <f>ROUND(SUM(J43:J46),5)</f>
        <v>1242</v>
      </c>
      <c r="K47" s="103"/>
      <c r="L47" s="103">
        <f>ROUND(SUM(L43:L46),5)</f>
        <v>758.54</v>
      </c>
      <c r="M47" s="103">
        <f>ROUND(SUM(M43:M46),5)</f>
        <v>1151.54</v>
      </c>
      <c r="N47" s="103">
        <f>ROUND(SUM(N43:N46),5)</f>
        <v>1613</v>
      </c>
      <c r="O47" s="103"/>
      <c r="P47" s="103">
        <f>ROUND(SUM(P43:P46),5)</f>
        <v>962.9</v>
      </c>
      <c r="Q47" s="103">
        <f>ROUND(SUM(Q43:Q46),5)</f>
        <v>1460.67</v>
      </c>
      <c r="R47" s="103">
        <f>ROUND(SUM(R43:R46),5)</f>
        <v>1338</v>
      </c>
      <c r="S47" s="103"/>
      <c r="T47" s="103">
        <f>ROUND(SUM(T43:T46),5)</f>
        <v>792.9</v>
      </c>
      <c r="U47" s="103">
        <f>ROUND(SUM(U43:U46),5)</f>
        <v>919.38</v>
      </c>
      <c r="V47" s="103">
        <f>ROUND(SUM(V43:V46),5)</f>
        <v>1264</v>
      </c>
      <c r="W47" s="103"/>
      <c r="X47" s="103">
        <f>ROUND(SUM(X43:X46),5)</f>
        <v>1398.2</v>
      </c>
      <c r="Y47" s="103">
        <f>ROUND(SUM(Y43:Y46),5)</f>
        <v>867.72</v>
      </c>
      <c r="Z47" s="103">
        <f>ROUND(SUM(Z43:Z46),5)</f>
        <v>1264</v>
      </c>
      <c r="AA47" s="103"/>
      <c r="AB47" s="103">
        <f>ROUND(SUM(AB43:AB46),5)</f>
        <v>1036.43</v>
      </c>
      <c r="AC47" s="103">
        <f>ROUND(SUM(AC43:AC46),5)</f>
        <v>1251.94</v>
      </c>
      <c r="AD47" s="103">
        <f>ROUND(SUM(AD43:AD46),5)</f>
        <v>1314</v>
      </c>
      <c r="AE47" s="103"/>
      <c r="AF47" s="103">
        <f t="shared" si="0"/>
        <v>8035</v>
      </c>
      <c r="AH47" s="6">
        <v>1260.1500000000001</v>
      </c>
      <c r="AI47" s="6">
        <v>1897.14</v>
      </c>
      <c r="AJ47" s="6">
        <v>731.04</v>
      </c>
      <c r="AL47" s="6">
        <v>1281.95</v>
      </c>
      <c r="AM47" s="6">
        <v>1378.72</v>
      </c>
      <c r="AN47" s="6">
        <v>794.65</v>
      </c>
      <c r="AP47" s="6">
        <v>786.92</v>
      </c>
      <c r="AQ47" s="6">
        <v>1332.6</v>
      </c>
      <c r="AR47" s="6">
        <v>2669.01</v>
      </c>
      <c r="AT47" s="6">
        <v>693.81</v>
      </c>
      <c r="AU47" s="6">
        <v>974.01</v>
      </c>
      <c r="AV47" s="6">
        <v>883.67</v>
      </c>
      <c r="AX47" s="6">
        <v>655.1</v>
      </c>
      <c r="AY47" s="6">
        <v>807.73</v>
      </c>
      <c r="AZ47" s="6">
        <v>1009.72</v>
      </c>
      <c r="BB47" s="6">
        <v>1124.3</v>
      </c>
      <c r="BC47" s="6">
        <v>1075.3800000000001</v>
      </c>
      <c r="BD47" s="6">
        <v>1113.24</v>
      </c>
    </row>
    <row r="48" spans="1:56" outlineLevel="2" x14ac:dyDescent="0.35">
      <c r="A48" s="2"/>
      <c r="B48" s="2"/>
      <c r="C48" s="2"/>
      <c r="D48" s="2"/>
      <c r="E48" s="2"/>
      <c r="F48" s="2" t="s">
        <v>62</v>
      </c>
      <c r="G48" s="2"/>
      <c r="H48" s="103">
        <v>250.48</v>
      </c>
      <c r="I48" s="103">
        <v>0</v>
      </c>
      <c r="J48" s="103">
        <v>0</v>
      </c>
      <c r="K48" s="103"/>
      <c r="L48" s="103">
        <v>0</v>
      </c>
      <c r="M48" s="103">
        <v>303.51</v>
      </c>
      <c r="N48" s="103">
        <v>0</v>
      </c>
      <c r="O48" s="103"/>
      <c r="P48" s="103">
        <v>0</v>
      </c>
      <c r="Q48" s="103">
        <v>0</v>
      </c>
      <c r="R48" s="103">
        <v>0</v>
      </c>
      <c r="S48" s="103"/>
      <c r="T48" s="103">
        <v>161.30000000000001</v>
      </c>
      <c r="U48" s="103">
        <v>0</v>
      </c>
      <c r="V48" s="103">
        <v>150</v>
      </c>
      <c r="W48" s="103"/>
      <c r="X48" s="103">
        <v>0</v>
      </c>
      <c r="Y48" s="103">
        <v>0</v>
      </c>
      <c r="Z48" s="103">
        <v>0</v>
      </c>
      <c r="AA48" s="103"/>
      <c r="AB48" s="103">
        <v>0</v>
      </c>
      <c r="AC48" s="103">
        <v>679.05</v>
      </c>
      <c r="AD48" s="103">
        <v>700</v>
      </c>
      <c r="AE48" s="103"/>
      <c r="AF48" s="103">
        <f t="shared" si="0"/>
        <v>850</v>
      </c>
      <c r="AH48" s="6">
        <v>250.48</v>
      </c>
      <c r="AI48" s="6">
        <v>287.91000000000003</v>
      </c>
      <c r="AJ48" s="6">
        <v>0</v>
      </c>
      <c r="AL48" s="6">
        <v>0</v>
      </c>
      <c r="AM48" s="6">
        <v>287.91000000000003</v>
      </c>
      <c r="AN48" s="6">
        <v>283.89</v>
      </c>
      <c r="AP48" s="6">
        <v>250.48</v>
      </c>
      <c r="AQ48" s="6">
        <v>232.32</v>
      </c>
      <c r="AR48" s="6">
        <v>0</v>
      </c>
      <c r="AT48" s="6">
        <v>0</v>
      </c>
      <c r="AU48" s="6">
        <v>0</v>
      </c>
      <c r="AV48" s="6">
        <v>0</v>
      </c>
      <c r="AX48" s="6">
        <v>0</v>
      </c>
      <c r="AY48" s="6">
        <v>0</v>
      </c>
      <c r="AZ48" s="6">
        <v>0</v>
      </c>
      <c r="BB48" s="6">
        <v>0</v>
      </c>
      <c r="BC48" s="6">
        <v>0</v>
      </c>
      <c r="BD48" s="6">
        <v>437.69</v>
      </c>
    </row>
    <row r="49" spans="1:56" outlineLevel="3" x14ac:dyDescent="0.35">
      <c r="A49" s="2"/>
      <c r="B49" s="2"/>
      <c r="C49" s="2"/>
      <c r="D49" s="2"/>
      <c r="E49" s="2"/>
      <c r="F49" s="2" t="s">
        <v>63</v>
      </c>
      <c r="G49" s="2"/>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f t="shared" si="0"/>
        <v>0</v>
      </c>
      <c r="AH49" s="6"/>
      <c r="AI49" s="6"/>
      <c r="AJ49" s="6"/>
      <c r="AL49" s="6"/>
      <c r="AM49" s="6"/>
      <c r="AN49" s="6"/>
      <c r="AP49" s="6"/>
      <c r="AQ49" s="6"/>
      <c r="AR49" s="6"/>
      <c r="AT49" s="6"/>
      <c r="AU49" s="6"/>
      <c r="AV49" s="6"/>
      <c r="AX49" s="6"/>
      <c r="AY49" s="6"/>
      <c r="AZ49" s="6"/>
      <c r="BB49" s="6"/>
      <c r="BC49" s="6"/>
      <c r="BD49" s="6"/>
    </row>
    <row r="50" spans="1:56" outlineLevel="3" x14ac:dyDescent="0.35">
      <c r="A50" s="2"/>
      <c r="B50" s="2"/>
      <c r="C50" s="2"/>
      <c r="D50" s="2"/>
      <c r="E50" s="2"/>
      <c r="F50" s="2"/>
      <c r="G50" s="2" t="s">
        <v>64</v>
      </c>
      <c r="H50" s="103">
        <v>187.26</v>
      </c>
      <c r="I50" s="103">
        <v>-50</v>
      </c>
      <c r="J50" s="103">
        <v>0</v>
      </c>
      <c r="K50" s="103"/>
      <c r="L50" s="103">
        <v>0</v>
      </c>
      <c r="M50" s="103">
        <v>0</v>
      </c>
      <c r="N50" s="103">
        <v>0</v>
      </c>
      <c r="O50" s="103"/>
      <c r="P50" s="103">
        <v>150.37</v>
      </c>
      <c r="Q50" s="103">
        <v>0</v>
      </c>
      <c r="R50" s="103">
        <v>106</v>
      </c>
      <c r="S50" s="103"/>
      <c r="T50" s="103">
        <v>0</v>
      </c>
      <c r="U50" s="103">
        <v>0</v>
      </c>
      <c r="V50" s="103">
        <v>100</v>
      </c>
      <c r="W50" s="103"/>
      <c r="X50" s="103">
        <v>0</v>
      </c>
      <c r="Y50" s="103">
        <v>0</v>
      </c>
      <c r="Z50" s="103">
        <v>100</v>
      </c>
      <c r="AA50" s="103"/>
      <c r="AB50" s="103">
        <v>0</v>
      </c>
      <c r="AC50" s="103">
        <v>102.64</v>
      </c>
      <c r="AD50" s="103">
        <v>100</v>
      </c>
      <c r="AE50" s="103"/>
      <c r="AF50" s="103">
        <f t="shared" si="0"/>
        <v>406</v>
      </c>
      <c r="AH50" s="6">
        <v>36.42</v>
      </c>
      <c r="AI50" s="6">
        <v>134.47</v>
      </c>
      <c r="AJ50" s="6">
        <v>1262.3599999999999</v>
      </c>
      <c r="AL50" s="6">
        <v>39.090000000000003</v>
      </c>
      <c r="AM50" s="6">
        <v>0</v>
      </c>
      <c r="AN50" s="6">
        <v>29.35</v>
      </c>
      <c r="AP50" s="6">
        <v>0</v>
      </c>
      <c r="AQ50" s="6">
        <v>21.02</v>
      </c>
      <c r="AR50" s="6">
        <v>0</v>
      </c>
      <c r="AT50" s="6">
        <v>60.5</v>
      </c>
      <c r="AU50" s="6">
        <v>0</v>
      </c>
      <c r="AV50" s="6">
        <v>203.73</v>
      </c>
      <c r="AX50" s="6">
        <v>368.68</v>
      </c>
      <c r="AY50" s="6">
        <v>16.27</v>
      </c>
      <c r="AZ50" s="6">
        <v>0</v>
      </c>
      <c r="BB50" s="6">
        <v>145.91</v>
      </c>
      <c r="BC50" s="6">
        <v>0</v>
      </c>
      <c r="BD50" s="6">
        <v>0</v>
      </c>
    </row>
    <row r="51" spans="1:56" ht="15" outlineLevel="3" thickBot="1" x14ac:dyDescent="0.4">
      <c r="A51" s="2"/>
      <c r="B51" s="2"/>
      <c r="C51" s="2"/>
      <c r="D51" s="2"/>
      <c r="E51" s="2"/>
      <c r="F51" s="2"/>
      <c r="G51" s="2" t="s">
        <v>65</v>
      </c>
      <c r="H51" s="104">
        <v>1195.93</v>
      </c>
      <c r="I51" s="104">
        <v>201.74</v>
      </c>
      <c r="J51" s="104">
        <v>0</v>
      </c>
      <c r="K51" s="103"/>
      <c r="L51" s="104">
        <v>335.69</v>
      </c>
      <c r="M51" s="104">
        <v>272.27999999999997</v>
      </c>
      <c r="N51" s="104">
        <v>1277</v>
      </c>
      <c r="O51" s="103"/>
      <c r="P51" s="104">
        <v>311.67</v>
      </c>
      <c r="Q51" s="104">
        <v>306.82</v>
      </c>
      <c r="R51" s="104">
        <v>616</v>
      </c>
      <c r="S51" s="103"/>
      <c r="T51" s="104">
        <v>264.11</v>
      </c>
      <c r="U51" s="104">
        <v>227.71</v>
      </c>
      <c r="V51" s="104">
        <v>227.71</v>
      </c>
      <c r="W51" s="103"/>
      <c r="X51" s="104">
        <v>190.89</v>
      </c>
      <c r="Y51" s="104">
        <v>238.05</v>
      </c>
      <c r="Z51" s="104">
        <v>500</v>
      </c>
      <c r="AA51" s="103"/>
      <c r="AB51" s="104">
        <v>261.16000000000003</v>
      </c>
      <c r="AC51" s="104">
        <v>472.38</v>
      </c>
      <c r="AD51" s="104">
        <v>261.16000000000003</v>
      </c>
      <c r="AE51" s="103"/>
      <c r="AF51" s="104">
        <f t="shared" si="0"/>
        <v>2881.87</v>
      </c>
      <c r="AH51" s="9">
        <v>885.7</v>
      </c>
      <c r="AI51" s="9">
        <v>173.35</v>
      </c>
      <c r="AJ51" s="9">
        <v>356.06</v>
      </c>
      <c r="AL51" s="9">
        <v>331.81</v>
      </c>
      <c r="AM51" s="9">
        <v>590.45000000000005</v>
      </c>
      <c r="AN51" s="9">
        <v>683.6</v>
      </c>
      <c r="AP51" s="9">
        <v>422.5</v>
      </c>
      <c r="AQ51" s="9">
        <v>314.24</v>
      </c>
      <c r="AR51" s="9">
        <v>237.15</v>
      </c>
      <c r="AT51" s="9">
        <v>431.88</v>
      </c>
      <c r="AU51" s="9">
        <v>315.25</v>
      </c>
      <c r="AV51" s="9">
        <v>1018.17</v>
      </c>
      <c r="AX51" s="9">
        <v>315.82</v>
      </c>
      <c r="AY51" s="9">
        <v>197.2</v>
      </c>
      <c r="AZ51" s="9">
        <v>298.91000000000003</v>
      </c>
      <c r="BB51" s="9">
        <v>188.34</v>
      </c>
      <c r="BC51" s="9">
        <v>338.5</v>
      </c>
      <c r="BD51" s="9">
        <v>431.25</v>
      </c>
    </row>
    <row r="52" spans="1:56" outlineLevel="2" x14ac:dyDescent="0.35">
      <c r="A52" s="2"/>
      <c r="B52" s="2"/>
      <c r="C52" s="2"/>
      <c r="D52" s="2"/>
      <c r="E52" s="2"/>
      <c r="F52" s="2" t="s">
        <v>66</v>
      </c>
      <c r="G52" s="2"/>
      <c r="H52" s="103">
        <f>ROUND(SUM(H49:H51),5)</f>
        <v>1383.19</v>
      </c>
      <c r="I52" s="103">
        <f>ROUND(SUM(I49:I51),5)</f>
        <v>151.74</v>
      </c>
      <c r="J52" s="103">
        <f>ROUND(SUM(J49:J51),5)</f>
        <v>0</v>
      </c>
      <c r="K52" s="103"/>
      <c r="L52" s="103">
        <f>ROUND(SUM(L49:L51),5)</f>
        <v>335.69</v>
      </c>
      <c r="M52" s="103">
        <f>ROUND(SUM(M49:M51),5)</f>
        <v>272.27999999999997</v>
      </c>
      <c r="N52" s="103">
        <f>ROUND(SUM(N49:N51),5)</f>
        <v>1277</v>
      </c>
      <c r="O52" s="103"/>
      <c r="P52" s="103">
        <f>ROUND(SUM(P49:P51),5)</f>
        <v>462.04</v>
      </c>
      <c r="Q52" s="103">
        <f>ROUND(SUM(Q49:Q51),5)</f>
        <v>306.82</v>
      </c>
      <c r="R52" s="103">
        <f>ROUND(SUM(R49:R51),5)</f>
        <v>722</v>
      </c>
      <c r="S52" s="103"/>
      <c r="T52" s="103">
        <f>ROUND(SUM(T49:T51),5)</f>
        <v>264.11</v>
      </c>
      <c r="U52" s="103">
        <f>ROUND(SUM(U49:U51),5)</f>
        <v>227.71</v>
      </c>
      <c r="V52" s="103">
        <f>ROUND(SUM(V49:V51),5)</f>
        <v>327.71</v>
      </c>
      <c r="W52" s="103"/>
      <c r="X52" s="103">
        <f>ROUND(SUM(X49:X51),5)</f>
        <v>190.89</v>
      </c>
      <c r="Y52" s="103">
        <f>ROUND(SUM(Y49:Y51),5)</f>
        <v>238.05</v>
      </c>
      <c r="Z52" s="103">
        <f>ROUND(SUM(Z49:Z51),5)</f>
        <v>600</v>
      </c>
      <c r="AA52" s="103"/>
      <c r="AB52" s="103">
        <f>ROUND(SUM(AB49:AB51),5)</f>
        <v>261.16000000000003</v>
      </c>
      <c r="AC52" s="103">
        <f>ROUND(SUM(AC49:AC51),5)</f>
        <v>575.02</v>
      </c>
      <c r="AD52" s="103">
        <f>ROUND(SUM(AD49:AD51),5)</f>
        <v>361.16</v>
      </c>
      <c r="AE52" s="103"/>
      <c r="AF52" s="103">
        <f t="shared" si="0"/>
        <v>3287.87</v>
      </c>
      <c r="AH52" s="6">
        <v>922.12</v>
      </c>
      <c r="AI52" s="6">
        <v>307.82</v>
      </c>
      <c r="AJ52" s="6">
        <v>1618.42</v>
      </c>
      <c r="AL52" s="6">
        <v>370.9</v>
      </c>
      <c r="AM52" s="6">
        <v>590.45000000000005</v>
      </c>
      <c r="AN52" s="6">
        <v>712.95</v>
      </c>
      <c r="AP52" s="6">
        <v>422.5</v>
      </c>
      <c r="AQ52" s="6">
        <v>335.26</v>
      </c>
      <c r="AR52" s="6">
        <v>237.15</v>
      </c>
      <c r="AT52" s="6">
        <v>492.38</v>
      </c>
      <c r="AU52" s="6">
        <v>315.25</v>
      </c>
      <c r="AV52" s="6">
        <v>1221.9000000000001</v>
      </c>
      <c r="AX52" s="6">
        <v>684.5</v>
      </c>
      <c r="AY52" s="6">
        <v>213.47</v>
      </c>
      <c r="AZ52" s="6">
        <v>298.91000000000003</v>
      </c>
      <c r="BB52" s="6">
        <v>334.25</v>
      </c>
      <c r="BC52" s="6">
        <v>338.5</v>
      </c>
      <c r="BD52" s="6">
        <v>431.25</v>
      </c>
    </row>
    <row r="53" spans="1:56" outlineLevel="2" x14ac:dyDescent="0.35">
      <c r="A53" s="2"/>
      <c r="B53" s="2"/>
      <c r="C53" s="2"/>
      <c r="D53" s="2"/>
      <c r="E53" s="2"/>
      <c r="F53" s="2" t="s">
        <v>67</v>
      </c>
      <c r="G53" s="2"/>
      <c r="H53" s="103">
        <v>356</v>
      </c>
      <c r="I53" s="103">
        <v>22</v>
      </c>
      <c r="J53" s="103">
        <v>0</v>
      </c>
      <c r="K53" s="103"/>
      <c r="L53" s="103">
        <v>2827.49</v>
      </c>
      <c r="M53" s="103">
        <v>0</v>
      </c>
      <c r="N53" s="103">
        <v>4913</v>
      </c>
      <c r="O53" s="103"/>
      <c r="P53" s="103">
        <v>1597.4</v>
      </c>
      <c r="Q53" s="103">
        <v>0</v>
      </c>
      <c r="R53" s="103">
        <v>119</v>
      </c>
      <c r="S53" s="103"/>
      <c r="T53" s="103">
        <v>586</v>
      </c>
      <c r="U53" s="103">
        <v>181.05</v>
      </c>
      <c r="V53" s="103">
        <v>181.05</v>
      </c>
      <c r="W53" s="103"/>
      <c r="X53" s="103">
        <v>176</v>
      </c>
      <c r="Y53" s="103">
        <v>0</v>
      </c>
      <c r="Z53" s="103">
        <v>1000</v>
      </c>
      <c r="AA53" s="103"/>
      <c r="AB53" s="103">
        <v>320</v>
      </c>
      <c r="AC53" s="103">
        <v>0</v>
      </c>
      <c r="AD53" s="103">
        <v>320</v>
      </c>
      <c r="AE53" s="103"/>
      <c r="AF53" s="103">
        <f t="shared" si="0"/>
        <v>6533.05</v>
      </c>
      <c r="AH53" s="6">
        <v>0</v>
      </c>
      <c r="AI53" s="6">
        <v>3402.44</v>
      </c>
      <c r="AJ53" s="6">
        <v>1942.47</v>
      </c>
      <c r="AL53" s="6">
        <v>3418.3</v>
      </c>
      <c r="AM53" s="6">
        <v>0</v>
      </c>
      <c r="AN53" s="6">
        <v>3675.1</v>
      </c>
      <c r="AP53" s="6">
        <v>2012.46</v>
      </c>
      <c r="AQ53" s="6">
        <v>4735.25</v>
      </c>
      <c r="AR53" s="6">
        <v>176</v>
      </c>
      <c r="AT53" s="6">
        <v>450.32</v>
      </c>
      <c r="AU53" s="6">
        <v>0</v>
      </c>
      <c r="AV53" s="6">
        <v>3989.69</v>
      </c>
      <c r="AX53" s="6">
        <v>584</v>
      </c>
      <c r="AY53" s="6">
        <v>0</v>
      </c>
      <c r="AZ53" s="6">
        <v>0</v>
      </c>
      <c r="BB53" s="6">
        <v>22.47</v>
      </c>
      <c r="BC53" s="6">
        <v>0</v>
      </c>
      <c r="BD53" s="6">
        <v>0</v>
      </c>
    </row>
    <row r="54" spans="1:56" ht="15" outlineLevel="2" thickBot="1" x14ac:dyDescent="0.4">
      <c r="A54" s="2"/>
      <c r="B54" s="2"/>
      <c r="C54" s="2"/>
      <c r="D54" s="2"/>
      <c r="E54" s="2"/>
      <c r="F54" s="2" t="s">
        <v>68</v>
      </c>
      <c r="G54" s="2"/>
      <c r="H54" s="104">
        <v>0</v>
      </c>
      <c r="I54" s="104">
        <v>31.37</v>
      </c>
      <c r="J54" s="104">
        <v>0</v>
      </c>
      <c r="K54" s="103"/>
      <c r="L54" s="104">
        <v>0</v>
      </c>
      <c r="M54" s="104">
        <v>0</v>
      </c>
      <c r="N54" s="104">
        <v>0</v>
      </c>
      <c r="O54" s="103"/>
      <c r="P54" s="104">
        <v>122.21</v>
      </c>
      <c r="Q54" s="104">
        <v>0</v>
      </c>
      <c r="R54" s="104">
        <v>0</v>
      </c>
      <c r="S54" s="103"/>
      <c r="T54" s="104">
        <v>445.67</v>
      </c>
      <c r="U54" s="104">
        <v>358.71</v>
      </c>
      <c r="V54" s="104">
        <v>100</v>
      </c>
      <c r="W54" s="103"/>
      <c r="X54" s="104">
        <v>1314.47</v>
      </c>
      <c r="Y54" s="104">
        <v>358.71</v>
      </c>
      <c r="Z54" s="104">
        <v>100</v>
      </c>
      <c r="AA54" s="103"/>
      <c r="AB54" s="104">
        <v>510.6</v>
      </c>
      <c r="AC54" s="104">
        <v>239.14</v>
      </c>
      <c r="AD54" s="104">
        <v>100</v>
      </c>
      <c r="AE54" s="103"/>
      <c r="AF54" s="104">
        <f t="shared" si="0"/>
        <v>300</v>
      </c>
      <c r="AH54" s="9">
        <v>224.84</v>
      </c>
      <c r="AI54" s="9">
        <v>315.23</v>
      </c>
      <c r="AJ54" s="9">
        <v>385.71</v>
      </c>
      <c r="AL54" s="9">
        <v>380.45</v>
      </c>
      <c r="AM54" s="9">
        <v>315.23</v>
      </c>
      <c r="AN54" s="9">
        <v>304.36</v>
      </c>
      <c r="AP54" s="9">
        <v>315.23</v>
      </c>
      <c r="AQ54" s="9">
        <v>157.62</v>
      </c>
      <c r="AR54" s="9">
        <v>456.54</v>
      </c>
      <c r="AT54" s="9">
        <v>248.08</v>
      </c>
      <c r="AU54" s="9">
        <v>373.34</v>
      </c>
      <c r="AV54" s="9">
        <v>304.36</v>
      </c>
      <c r="AX54" s="9">
        <v>222.84</v>
      </c>
      <c r="AY54" s="9">
        <v>152.18</v>
      </c>
      <c r="AZ54" s="9">
        <v>232.03</v>
      </c>
      <c r="BB54" s="9">
        <v>222.84</v>
      </c>
      <c r="BC54" s="9">
        <v>0</v>
      </c>
      <c r="BD54" s="9">
        <v>2000</v>
      </c>
    </row>
    <row r="55" spans="1:56" outlineLevel="1" x14ac:dyDescent="0.35">
      <c r="A55" s="2"/>
      <c r="B55" s="2"/>
      <c r="C55" s="2"/>
      <c r="D55" s="2"/>
      <c r="E55" s="2" t="s">
        <v>69</v>
      </c>
      <c r="F55" s="2"/>
      <c r="G55" s="2"/>
      <c r="H55" s="103">
        <f>ROUND(SUM(H40:H42)+SUM(H47:H48)+SUM(H52:H54),5)</f>
        <v>3297.05</v>
      </c>
      <c r="I55" s="103">
        <f>ROUND(SUM(I40:I42)+SUM(I47:I48)+SUM(I52:I54),5)</f>
        <v>1325.27</v>
      </c>
      <c r="J55" s="103">
        <f>ROUND(SUM(J40:J42)+SUM(J47:J48)+SUM(J52:J54),5)</f>
        <v>1369</v>
      </c>
      <c r="K55" s="103"/>
      <c r="L55" s="103">
        <f>ROUND(SUM(L40:L42)+SUM(L47:L48)+SUM(L52:L54),5)</f>
        <v>4040.14</v>
      </c>
      <c r="M55" s="103">
        <f>ROUND(SUM(M40:M42)+SUM(M47:M48)+SUM(M52:M54),5)</f>
        <v>3544.33</v>
      </c>
      <c r="N55" s="103">
        <f>ROUND(SUM(N40:N42)+SUM(N47:N48)+SUM(N52:N54),5)</f>
        <v>8762</v>
      </c>
      <c r="O55" s="103"/>
      <c r="P55" s="103">
        <f>ROUND(SUM(P40:P42)+SUM(P47:P48)+SUM(P52:P54),5)</f>
        <v>3382.85</v>
      </c>
      <c r="Q55" s="103">
        <f>ROUND(SUM(Q40:Q42)+SUM(Q47:Q48)+SUM(Q52:Q54),5)</f>
        <v>2041.29</v>
      </c>
      <c r="R55" s="103">
        <f>ROUND(SUM(R40:R42)+SUM(R47:R48)+SUM(R52:R54),5)</f>
        <v>2375</v>
      </c>
      <c r="S55" s="103"/>
      <c r="T55" s="103">
        <f>ROUND(SUM(T40:T42)+SUM(T47:T48)+SUM(T52:T54),5)</f>
        <v>2326.98</v>
      </c>
      <c r="U55" s="103">
        <f>ROUND(SUM(U40:U42)+SUM(U47:U48)+SUM(U52:U54),5)</f>
        <v>1763.85</v>
      </c>
      <c r="V55" s="103">
        <f>ROUND(SUM(V40:V42)+SUM(V47:V48)+SUM(V52:V54),5)</f>
        <v>2099.7600000000002</v>
      </c>
      <c r="W55" s="103"/>
      <c r="X55" s="103">
        <f>ROUND(SUM(X40:X42)+SUM(X47:X48)+SUM(X52:X54),5)</f>
        <v>3446.56</v>
      </c>
      <c r="Y55" s="103">
        <f>ROUND(SUM(Y40:Y42)+SUM(Y47:Y48)+SUM(Y52:Y54),5)</f>
        <v>1709.28</v>
      </c>
      <c r="Z55" s="103">
        <f>ROUND(SUM(Z40:Z42)+SUM(Z47:Z48)+SUM(Z52:Z54),5)</f>
        <v>3208.8</v>
      </c>
      <c r="AA55" s="103"/>
      <c r="AB55" s="103">
        <f>ROUND(SUM(AB40:AB42)+SUM(AB47:AB48)+SUM(AB52:AB54),5)</f>
        <v>2671.88</v>
      </c>
      <c r="AC55" s="103">
        <f>ROUND(SUM(AC40:AC42)+SUM(AC47:AC48)+SUM(AC52:AC54),5)</f>
        <v>2851.15</v>
      </c>
      <c r="AD55" s="103">
        <f>ROUND(SUM(AD40:AD42)+SUM(AD47:AD48)+SUM(AD52:AD54),5)</f>
        <v>3338.85</v>
      </c>
      <c r="AE55" s="103"/>
      <c r="AF55" s="103">
        <f t="shared" si="0"/>
        <v>21153.41</v>
      </c>
      <c r="AH55" s="6">
        <v>2687.59</v>
      </c>
      <c r="AI55" s="6">
        <v>6530.54</v>
      </c>
      <c r="AJ55" s="6">
        <v>5132.04</v>
      </c>
      <c r="AL55" s="6">
        <v>5888.6</v>
      </c>
      <c r="AM55" s="6">
        <v>2727.81</v>
      </c>
      <c r="AN55" s="6">
        <v>6040.75</v>
      </c>
      <c r="AP55" s="6">
        <v>4021.89</v>
      </c>
      <c r="AQ55" s="6">
        <v>8216.0300000000007</v>
      </c>
      <c r="AR55" s="6">
        <v>3831.17</v>
      </c>
      <c r="AT55" s="6">
        <v>2366.59</v>
      </c>
      <c r="AU55" s="6">
        <v>1769.6</v>
      </c>
      <c r="AV55" s="6">
        <v>6628.62</v>
      </c>
      <c r="AX55" s="6">
        <v>2473.44</v>
      </c>
      <c r="AY55" s="6">
        <v>1250.3800000000001</v>
      </c>
      <c r="AZ55" s="6">
        <v>1869.46</v>
      </c>
      <c r="BB55" s="6">
        <v>1962.26</v>
      </c>
      <c r="BC55" s="6">
        <v>1658.68</v>
      </c>
      <c r="BD55" s="6">
        <v>4474.18</v>
      </c>
    </row>
    <row r="56" spans="1:56" outlineLevel="2" x14ac:dyDescent="0.35">
      <c r="A56" s="2"/>
      <c r="B56" s="2"/>
      <c r="C56" s="2"/>
      <c r="D56" s="2"/>
      <c r="E56" s="2" t="s">
        <v>70</v>
      </c>
      <c r="F56" s="2"/>
      <c r="G56" s="2"/>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f t="shared" si="0"/>
        <v>0</v>
      </c>
      <c r="AH56" s="6"/>
      <c r="AI56" s="6"/>
      <c r="AJ56" s="6"/>
      <c r="AL56" s="6"/>
      <c r="AM56" s="6"/>
      <c r="AN56" s="6"/>
      <c r="AP56" s="6"/>
      <c r="AQ56" s="6"/>
      <c r="AR56" s="6"/>
      <c r="AT56" s="6"/>
      <c r="AU56" s="6"/>
      <c r="AV56" s="6"/>
      <c r="AX56" s="6"/>
      <c r="AY56" s="6"/>
      <c r="AZ56" s="6"/>
      <c r="BB56" s="6"/>
      <c r="BC56" s="6"/>
      <c r="BD56" s="6"/>
    </row>
    <row r="57" spans="1:56" outlineLevel="2" x14ac:dyDescent="0.35">
      <c r="A57" s="2"/>
      <c r="B57" s="2"/>
      <c r="C57" s="2"/>
      <c r="D57" s="2"/>
      <c r="E57" s="2"/>
      <c r="F57" s="2" t="s">
        <v>71</v>
      </c>
      <c r="G57" s="2"/>
      <c r="H57" s="103">
        <v>0</v>
      </c>
      <c r="I57" s="103">
        <v>0</v>
      </c>
      <c r="J57" s="103">
        <v>0</v>
      </c>
      <c r="K57" s="103"/>
      <c r="L57" s="103">
        <v>0</v>
      </c>
      <c r="M57" s="103">
        <v>0</v>
      </c>
      <c r="N57" s="103">
        <v>0</v>
      </c>
      <c r="O57" s="103"/>
      <c r="P57" s="103">
        <v>0</v>
      </c>
      <c r="Q57" s="103">
        <v>0</v>
      </c>
      <c r="R57" s="103">
        <v>0</v>
      </c>
      <c r="S57" s="103"/>
      <c r="T57" s="103">
        <v>1784.51</v>
      </c>
      <c r="U57" s="103">
        <v>1858.33</v>
      </c>
      <c r="V57" s="103">
        <v>2000</v>
      </c>
      <c r="W57" s="103"/>
      <c r="X57" s="103">
        <v>0</v>
      </c>
      <c r="Y57" s="103">
        <v>0</v>
      </c>
      <c r="Z57" s="103">
        <v>0</v>
      </c>
      <c r="AA57" s="103"/>
      <c r="AB57" s="103">
        <v>0</v>
      </c>
      <c r="AC57" s="103">
        <v>0</v>
      </c>
      <c r="AD57" s="103">
        <v>0</v>
      </c>
      <c r="AE57" s="103"/>
      <c r="AF57" s="103">
        <f t="shared" si="0"/>
        <v>2000</v>
      </c>
      <c r="AH57" s="6">
        <v>0</v>
      </c>
      <c r="AI57" s="6">
        <v>0</v>
      </c>
      <c r="AJ57" s="6">
        <v>0</v>
      </c>
      <c r="AL57" s="6">
        <v>0</v>
      </c>
      <c r="AM57" s="6">
        <v>0</v>
      </c>
      <c r="AN57" s="6">
        <v>0</v>
      </c>
      <c r="AP57" s="6">
        <v>0</v>
      </c>
      <c r="AQ57" s="6">
        <v>0</v>
      </c>
      <c r="AR57" s="6">
        <v>0</v>
      </c>
      <c r="AT57" s="6">
        <v>1690.78</v>
      </c>
      <c r="AU57" s="6">
        <v>1784.5</v>
      </c>
      <c r="AV57" s="6">
        <v>1858.33</v>
      </c>
      <c r="AX57" s="6">
        <v>0</v>
      </c>
      <c r="AY57" s="6">
        <v>0</v>
      </c>
      <c r="AZ57" s="6">
        <v>0</v>
      </c>
      <c r="BB57" s="6">
        <v>0</v>
      </c>
      <c r="BC57" s="6">
        <v>0</v>
      </c>
      <c r="BD57" s="6">
        <v>0</v>
      </c>
    </row>
    <row r="58" spans="1:56" outlineLevel="2" x14ac:dyDescent="0.35">
      <c r="A58" s="2"/>
      <c r="B58" s="2"/>
      <c r="C58" s="2"/>
      <c r="D58" s="2"/>
      <c r="E58" s="2"/>
      <c r="F58" s="2" t="s">
        <v>72</v>
      </c>
      <c r="G58" s="2"/>
      <c r="H58" s="103">
        <v>691.26</v>
      </c>
      <c r="I58" s="103">
        <v>696.94</v>
      </c>
      <c r="J58" s="103">
        <v>575</v>
      </c>
      <c r="K58" s="103"/>
      <c r="L58" s="103">
        <v>978.69</v>
      </c>
      <c r="M58" s="103">
        <v>805.7</v>
      </c>
      <c r="N58" s="103">
        <v>6</v>
      </c>
      <c r="O58" s="103"/>
      <c r="P58" s="103">
        <v>690.99</v>
      </c>
      <c r="Q58" s="103">
        <v>659.22</v>
      </c>
      <c r="R58" s="103">
        <v>842</v>
      </c>
      <c r="S58" s="103"/>
      <c r="T58" s="103">
        <v>791.27</v>
      </c>
      <c r="U58" s="103">
        <v>708.96</v>
      </c>
      <c r="V58" s="103">
        <v>708.96</v>
      </c>
      <c r="W58" s="103"/>
      <c r="X58" s="103">
        <v>725.99</v>
      </c>
      <c r="Y58" s="103">
        <v>703.15</v>
      </c>
      <c r="Z58" s="103">
        <v>703.15</v>
      </c>
      <c r="AA58" s="103"/>
      <c r="AB58" s="103">
        <v>650.99</v>
      </c>
      <c r="AC58" s="103">
        <v>790.89</v>
      </c>
      <c r="AD58" s="103">
        <v>650.99</v>
      </c>
      <c r="AE58" s="103"/>
      <c r="AF58" s="103">
        <f t="shared" si="0"/>
        <v>3486.1</v>
      </c>
      <c r="AH58" s="6">
        <v>607.49</v>
      </c>
      <c r="AI58" s="6">
        <v>821.61</v>
      </c>
      <c r="AJ58" s="6">
        <v>825.25</v>
      </c>
      <c r="AL58" s="6">
        <v>734.86</v>
      </c>
      <c r="AM58" s="6">
        <v>762.4</v>
      </c>
      <c r="AN58" s="6">
        <v>920.5</v>
      </c>
      <c r="AP58" s="6">
        <v>881.26</v>
      </c>
      <c r="AQ58" s="6">
        <v>1006.89</v>
      </c>
      <c r="AR58" s="6">
        <v>1097.83</v>
      </c>
      <c r="AT58" s="6">
        <v>830.17</v>
      </c>
      <c r="AU58" s="6">
        <v>1034.32</v>
      </c>
      <c r="AV58" s="6">
        <v>1078</v>
      </c>
      <c r="AX58" s="6">
        <v>913.33</v>
      </c>
      <c r="AY58" s="6">
        <v>946.2</v>
      </c>
      <c r="AZ58" s="6">
        <v>1055.23</v>
      </c>
      <c r="BB58" s="6">
        <v>671.4</v>
      </c>
      <c r="BC58" s="6">
        <v>722.38</v>
      </c>
      <c r="BD58" s="6">
        <v>835.08</v>
      </c>
    </row>
    <row r="59" spans="1:56" ht="15" outlineLevel="2" thickBot="1" x14ac:dyDescent="0.4">
      <c r="A59" s="2"/>
      <c r="B59" s="2"/>
      <c r="C59" s="2"/>
      <c r="D59" s="2"/>
      <c r="E59" s="2"/>
      <c r="F59" s="2" t="s">
        <v>74</v>
      </c>
      <c r="G59" s="2"/>
      <c r="H59" s="103">
        <v>228.55</v>
      </c>
      <c r="I59" s="103">
        <v>229.07</v>
      </c>
      <c r="J59" s="103">
        <v>0</v>
      </c>
      <c r="K59" s="103"/>
      <c r="L59" s="103">
        <v>6.45</v>
      </c>
      <c r="M59" s="103">
        <v>141.29</v>
      </c>
      <c r="N59" s="103">
        <v>0</v>
      </c>
      <c r="O59" s="103"/>
      <c r="P59" s="103">
        <v>6.45</v>
      </c>
      <c r="Q59" s="103">
        <v>2.58</v>
      </c>
      <c r="R59" s="103">
        <v>0</v>
      </c>
      <c r="S59" s="103"/>
      <c r="T59" s="103">
        <v>16.45</v>
      </c>
      <c r="U59" s="103">
        <v>15.16</v>
      </c>
      <c r="V59" s="103">
        <v>15.16</v>
      </c>
      <c r="W59" s="103"/>
      <c r="X59" s="103">
        <v>701.2</v>
      </c>
      <c r="Y59" s="103">
        <v>707.65</v>
      </c>
      <c r="Z59" s="103">
        <v>707.65</v>
      </c>
      <c r="AA59" s="103"/>
      <c r="AB59" s="103">
        <v>14.19</v>
      </c>
      <c r="AC59" s="103">
        <v>15.48</v>
      </c>
      <c r="AD59" s="103">
        <v>14.19</v>
      </c>
      <c r="AE59" s="103"/>
      <c r="AF59" s="103">
        <f t="shared" si="0"/>
        <v>737</v>
      </c>
      <c r="AH59" s="6">
        <v>0</v>
      </c>
      <c r="AI59" s="6">
        <v>0</v>
      </c>
      <c r="AJ59" s="6">
        <v>1.29</v>
      </c>
      <c r="AL59" s="6">
        <v>5.16</v>
      </c>
      <c r="AM59" s="6">
        <v>9.0299999999999994</v>
      </c>
      <c r="AN59" s="6">
        <v>0</v>
      </c>
      <c r="AP59" s="6">
        <v>11.61</v>
      </c>
      <c r="AQ59" s="6">
        <v>11.61</v>
      </c>
      <c r="AR59" s="6">
        <v>11.61</v>
      </c>
      <c r="AT59" s="6">
        <v>0</v>
      </c>
      <c r="AU59" s="6">
        <v>6.45</v>
      </c>
      <c r="AV59" s="6">
        <v>5.16</v>
      </c>
      <c r="AX59" s="6">
        <v>360</v>
      </c>
      <c r="AY59" s="6">
        <v>377.74</v>
      </c>
      <c r="AZ59" s="6">
        <v>385.16</v>
      </c>
      <c r="BB59" s="6">
        <v>10.82</v>
      </c>
      <c r="BC59" s="6">
        <v>5.16</v>
      </c>
      <c r="BD59" s="6">
        <v>0</v>
      </c>
    </row>
    <row r="60" spans="1:56" ht="15" outlineLevel="1" thickBot="1" x14ac:dyDescent="0.4">
      <c r="A60" s="2"/>
      <c r="B60" s="2"/>
      <c r="C60" s="2"/>
      <c r="D60" s="2"/>
      <c r="E60" s="2" t="s">
        <v>75</v>
      </c>
      <c r="F60" s="2"/>
      <c r="G60" s="2"/>
      <c r="H60" s="106">
        <f>ROUND(SUM(H56:H59),5)</f>
        <v>919.81</v>
      </c>
      <c r="I60" s="106">
        <f>ROUND(SUM(I56:I59),5)</f>
        <v>926.01</v>
      </c>
      <c r="J60" s="106">
        <f>ROUND(SUM(J56:J59),5)</f>
        <v>575</v>
      </c>
      <c r="K60" s="103"/>
      <c r="L60" s="106">
        <f>ROUND(SUM(L56:L59),5)</f>
        <v>985.14</v>
      </c>
      <c r="M60" s="106">
        <f>ROUND(SUM(M56:M59),5)</f>
        <v>946.99</v>
      </c>
      <c r="N60" s="106">
        <f>ROUND(SUM(N56:N59),5)</f>
        <v>6</v>
      </c>
      <c r="O60" s="103"/>
      <c r="P60" s="106">
        <f>ROUND(SUM(P56:P59),5)</f>
        <v>697.44</v>
      </c>
      <c r="Q60" s="106">
        <f>ROUND(SUM(Q56:Q59),5)</f>
        <v>661.8</v>
      </c>
      <c r="R60" s="106">
        <f>ROUND(SUM(R56:R59),5)</f>
        <v>842</v>
      </c>
      <c r="S60" s="103"/>
      <c r="T60" s="106">
        <f>ROUND(SUM(T56:T59),5)</f>
        <v>2592.23</v>
      </c>
      <c r="U60" s="106">
        <f>ROUND(SUM(U56:U59),5)</f>
        <v>2582.4499999999998</v>
      </c>
      <c r="V60" s="106">
        <f>ROUND(SUM(V56:V59),5)</f>
        <v>2724.12</v>
      </c>
      <c r="W60" s="103"/>
      <c r="X60" s="106">
        <f>ROUND(SUM(X56:X59),5)</f>
        <v>1427.19</v>
      </c>
      <c r="Y60" s="106">
        <f>ROUND(SUM(Y56:Y59),5)</f>
        <v>1410.8</v>
      </c>
      <c r="Z60" s="106">
        <f>ROUND(SUM(Z56:Z59),5)</f>
        <v>1410.8</v>
      </c>
      <c r="AA60" s="103"/>
      <c r="AB60" s="106">
        <f>ROUND(SUM(AB56:AB59),5)</f>
        <v>665.18</v>
      </c>
      <c r="AC60" s="106">
        <f>ROUND(SUM(AC56:AC59),5)</f>
        <v>806.37</v>
      </c>
      <c r="AD60" s="106">
        <f>ROUND(SUM(AD56:AD59),5)</f>
        <v>665.18</v>
      </c>
      <c r="AE60" s="103"/>
      <c r="AF60" s="106">
        <f t="shared" si="0"/>
        <v>6223.1</v>
      </c>
      <c r="AH60" s="20">
        <v>607.49</v>
      </c>
      <c r="AI60" s="20">
        <v>821.61</v>
      </c>
      <c r="AJ60" s="20">
        <v>826.54</v>
      </c>
      <c r="AL60" s="20">
        <v>740.02</v>
      </c>
      <c r="AM60" s="20">
        <v>771.43</v>
      </c>
      <c r="AN60" s="20">
        <v>920.5</v>
      </c>
      <c r="AP60" s="20">
        <v>892.87</v>
      </c>
      <c r="AQ60" s="20">
        <v>1018.5</v>
      </c>
      <c r="AR60" s="20">
        <v>1109.44</v>
      </c>
      <c r="AT60" s="20">
        <v>2520.9499999999998</v>
      </c>
      <c r="AU60" s="20">
        <v>2825.27</v>
      </c>
      <c r="AV60" s="20">
        <v>2941.49</v>
      </c>
      <c r="AX60" s="20">
        <v>1273.33</v>
      </c>
      <c r="AY60" s="20">
        <v>1323.94</v>
      </c>
      <c r="AZ60" s="20">
        <v>1440.39</v>
      </c>
      <c r="BB60" s="20">
        <v>682.22</v>
      </c>
      <c r="BC60" s="20">
        <v>727.54</v>
      </c>
      <c r="BD60" s="20">
        <v>835.08</v>
      </c>
    </row>
    <row r="61" spans="1:56" ht="15" thickBot="1" x14ac:dyDescent="0.4">
      <c r="A61" s="2"/>
      <c r="B61" s="2"/>
      <c r="C61" s="2"/>
      <c r="D61" s="2" t="s">
        <v>85</v>
      </c>
      <c r="E61" s="2"/>
      <c r="F61" s="2"/>
      <c r="G61" s="2"/>
      <c r="H61" s="105">
        <f>ROUND(SUM(H20:H21)+H39+H55+H60,5)</f>
        <v>17754.82</v>
      </c>
      <c r="I61" s="105">
        <f>ROUND(SUM(I20:I21)+I39+I55+I60,5)</f>
        <v>12413.48</v>
      </c>
      <c r="J61" s="105">
        <f>ROUND(SUM(J20:J21)+J39+J55+J60,5)</f>
        <v>14038</v>
      </c>
      <c r="K61" s="103"/>
      <c r="L61" s="105">
        <f>ROUND(SUM(L20:L21)+L39+L55+L60,5)</f>
        <v>14140.42</v>
      </c>
      <c r="M61" s="105">
        <f>ROUND(SUM(M20:M21)+M39+M55+M60,5)</f>
        <v>15482.62</v>
      </c>
      <c r="N61" s="105">
        <f>ROUND(SUM(N20:N21)+N39+N55+N60,5)</f>
        <v>19664</v>
      </c>
      <c r="O61" s="103"/>
      <c r="P61" s="105">
        <f>ROUND(SUM(P20:P21)+P39+P55+P60,5)</f>
        <v>13609.37</v>
      </c>
      <c r="Q61" s="105">
        <f>ROUND(SUM(Q20:Q21)+Q39+Q55+Q60,5)</f>
        <v>12251.69</v>
      </c>
      <c r="R61" s="105">
        <f>ROUND(SUM(R20:R21)+R39+R55+R60,5)</f>
        <v>13891</v>
      </c>
      <c r="S61" s="103"/>
      <c r="T61" s="105">
        <f>ROUND(SUM(T20:T21)+T39+T55+T60,5)</f>
        <v>15978.16</v>
      </c>
      <c r="U61" s="105">
        <f>ROUND(SUM(U20:U21)+U39+U55+U60,5)</f>
        <v>15068.87</v>
      </c>
      <c r="V61" s="105">
        <f>ROUND(SUM(V20:V21)+V39+V55+V60,5)</f>
        <v>15350.84</v>
      </c>
      <c r="W61" s="103"/>
      <c r="X61" s="105">
        <f>ROUND(SUM(X20:X21)+X39+X55+X60,5)</f>
        <v>17875.21</v>
      </c>
      <c r="Y61" s="105">
        <f>ROUND(SUM(Y20:Y21)+Y39+Y55+Y60,5)</f>
        <v>13899.6</v>
      </c>
      <c r="Z61" s="105">
        <f>ROUND(SUM(Z20:Z21)+Z39+Z55+Z60,5)</f>
        <v>15494.65</v>
      </c>
      <c r="AA61" s="103"/>
      <c r="AB61" s="105">
        <f>ROUND(SUM(AB20:AB21)+AB39+AB55+AB60,5)</f>
        <v>13032.75</v>
      </c>
      <c r="AC61" s="105">
        <f>ROUND(SUM(AC20:AC21)+AC39+AC55+AC60,5)</f>
        <v>14027.55</v>
      </c>
      <c r="AD61" s="105">
        <f>ROUND(SUM(AD20:AD21)+AD39+AD55+AD60,5)</f>
        <v>15169.62</v>
      </c>
      <c r="AE61" s="103"/>
      <c r="AF61" s="105">
        <f t="shared" si="0"/>
        <v>93608.11</v>
      </c>
      <c r="AH61" s="11">
        <v>13479.67</v>
      </c>
      <c r="AI61" s="11">
        <v>18406.77</v>
      </c>
      <c r="AJ61" s="11">
        <v>18855.93</v>
      </c>
      <c r="AL61" s="11">
        <v>17477.830000000002</v>
      </c>
      <c r="AM61" s="11">
        <v>14536.18</v>
      </c>
      <c r="AN61" s="11">
        <v>21036.47</v>
      </c>
      <c r="AP61" s="11">
        <v>15708.71</v>
      </c>
      <c r="AQ61" s="11">
        <v>28024.86</v>
      </c>
      <c r="AR61" s="11">
        <v>16795.25</v>
      </c>
      <c r="AT61" s="11">
        <v>22895.69</v>
      </c>
      <c r="AU61" s="11">
        <v>15859.1</v>
      </c>
      <c r="AV61" s="11">
        <v>30831.5</v>
      </c>
      <c r="AX61" s="11">
        <v>12521.65</v>
      </c>
      <c r="AY61" s="11">
        <v>12064.75</v>
      </c>
      <c r="AZ61" s="11">
        <v>21775.37</v>
      </c>
      <c r="BB61" s="11">
        <v>12795.18</v>
      </c>
      <c r="BC61" s="11">
        <v>14037.8</v>
      </c>
      <c r="BD61" s="11">
        <v>15999.12</v>
      </c>
    </row>
    <row r="62" spans="1:56" outlineLevel="1" x14ac:dyDescent="0.35">
      <c r="A62" s="2"/>
      <c r="B62" s="2" t="s">
        <v>86</v>
      </c>
      <c r="C62" s="2"/>
      <c r="D62" s="2"/>
      <c r="E62" s="2"/>
      <c r="F62" s="2"/>
      <c r="G62" s="2"/>
      <c r="H62" s="103">
        <f>ROUND(H19-H61,5)</f>
        <v>339.29</v>
      </c>
      <c r="I62" s="103">
        <f>ROUND(I19-I61,5)</f>
        <v>4320.67</v>
      </c>
      <c r="J62" s="103">
        <f>ROUND(J19-J61,5)</f>
        <v>4873</v>
      </c>
      <c r="K62" s="103"/>
      <c r="L62" s="103">
        <f>ROUND(L19-L61,5)</f>
        <v>2949.87</v>
      </c>
      <c r="M62" s="103">
        <f>ROUND(M19-M61,5)</f>
        <v>1175.94</v>
      </c>
      <c r="N62" s="103">
        <f>ROUND(N19-N61,5)</f>
        <v>462</v>
      </c>
      <c r="O62" s="103"/>
      <c r="P62" s="103">
        <f>ROUND(P19-P61,5)</f>
        <v>3029.1</v>
      </c>
      <c r="Q62" s="103">
        <f>ROUND(Q19-Q61,5)</f>
        <v>4966.87</v>
      </c>
      <c r="R62" s="103">
        <f>ROUND(R19-R61,5)</f>
        <v>4904</v>
      </c>
      <c r="S62" s="103"/>
      <c r="T62" s="103">
        <f>ROUND(T19-T61,5)</f>
        <v>1086.19</v>
      </c>
      <c r="U62" s="103">
        <f>ROUND(U19-U61,5)</f>
        <v>1827.17</v>
      </c>
      <c r="V62" s="103">
        <f>ROUND(V19-V61,5)</f>
        <v>4027.08</v>
      </c>
      <c r="W62" s="103"/>
      <c r="X62" s="103">
        <f>ROUND(X19-X61,5)</f>
        <v>-301.39</v>
      </c>
      <c r="Y62" s="103">
        <f>ROUND(Y19-Y61,5)</f>
        <v>2963.96</v>
      </c>
      <c r="Z62" s="103">
        <f>ROUND(Z19-Z61,5)</f>
        <v>4378.3100000000004</v>
      </c>
      <c r="AA62" s="103"/>
      <c r="AB62" s="103">
        <f>ROUND(AB19-AB61,5)</f>
        <v>6614.28</v>
      </c>
      <c r="AC62" s="103">
        <f>ROUND(AC19-AC61,5)</f>
        <v>6071.52</v>
      </c>
      <c r="AD62" s="103">
        <f>ROUND(AD19-AD61,5)</f>
        <v>6682.95</v>
      </c>
      <c r="AE62" s="103"/>
      <c r="AF62" s="103">
        <f t="shared" si="0"/>
        <v>25327.34</v>
      </c>
      <c r="AH62" s="6">
        <v>7294.13</v>
      </c>
      <c r="AI62" s="6">
        <v>674.98</v>
      </c>
      <c r="AJ62" s="6">
        <v>3758.04</v>
      </c>
      <c r="AL62" s="6">
        <v>2441.67</v>
      </c>
      <c r="AM62" s="6">
        <v>7185.55</v>
      </c>
      <c r="AN62" s="6">
        <v>2968</v>
      </c>
      <c r="AP62" s="6">
        <v>4754.1899999999996</v>
      </c>
      <c r="AQ62" s="6">
        <v>-4894.58</v>
      </c>
      <c r="AR62" s="6">
        <v>9950.4500000000007</v>
      </c>
      <c r="AT62" s="6">
        <v>-1135.53</v>
      </c>
      <c r="AU62" s="6">
        <v>5426.07</v>
      </c>
      <c r="AV62" s="6">
        <v>-6566.56</v>
      </c>
      <c r="AX62" s="6">
        <v>3327</v>
      </c>
      <c r="AY62" s="6">
        <v>4648.7700000000004</v>
      </c>
      <c r="AZ62" s="6">
        <v>-3070.12</v>
      </c>
      <c r="BB62" s="6">
        <v>4164.84</v>
      </c>
      <c r="BC62" s="6">
        <v>3106.63</v>
      </c>
      <c r="BD62" s="6">
        <v>3457.47</v>
      </c>
    </row>
    <row r="63" spans="1:56" ht="15" outlineLevel="1" thickBot="1" x14ac:dyDescent="0.4">
      <c r="A63" s="2"/>
      <c r="B63" s="2" t="s">
        <v>87</v>
      </c>
      <c r="C63" s="2"/>
      <c r="D63" s="2"/>
      <c r="E63" s="2"/>
      <c r="F63" s="2"/>
      <c r="G63" s="2"/>
      <c r="H63" s="103">
        <v>-4167</v>
      </c>
      <c r="I63" s="103">
        <v>-2500</v>
      </c>
      <c r="J63" s="103">
        <v>-2500</v>
      </c>
      <c r="K63" s="103"/>
      <c r="L63" s="103">
        <v>-4167</v>
      </c>
      <c r="M63" s="103">
        <v>-2500</v>
      </c>
      <c r="N63" s="103">
        <v>-2500</v>
      </c>
      <c r="O63" s="103"/>
      <c r="P63" s="103">
        <v>-4167</v>
      </c>
      <c r="Q63" s="103">
        <v>-2500</v>
      </c>
      <c r="R63" s="103">
        <v>-2500</v>
      </c>
      <c r="S63" s="103"/>
      <c r="T63" s="103">
        <v>-4167</v>
      </c>
      <c r="U63" s="103">
        <v>-2500</v>
      </c>
      <c r="V63" s="103">
        <v>-2500</v>
      </c>
      <c r="W63" s="103"/>
      <c r="X63" s="103">
        <v>-4167</v>
      </c>
      <c r="Y63" s="103">
        <v>-2500</v>
      </c>
      <c r="Z63" s="103">
        <v>-2500</v>
      </c>
      <c r="AA63" s="103"/>
      <c r="AB63" s="103">
        <v>-4167</v>
      </c>
      <c r="AC63" s="103">
        <v>-2500</v>
      </c>
      <c r="AD63" s="103">
        <v>-2500</v>
      </c>
      <c r="AE63" s="103"/>
      <c r="AF63" s="103">
        <f t="shared" si="0"/>
        <v>-15000</v>
      </c>
      <c r="AH63" s="6">
        <v>-4167</v>
      </c>
      <c r="AI63" s="6">
        <v>-2500</v>
      </c>
      <c r="AJ63" s="6">
        <v>-2500</v>
      </c>
      <c r="AL63" s="6">
        <v>-4167</v>
      </c>
      <c r="AM63" s="6">
        <v>-2500</v>
      </c>
      <c r="AN63" s="6">
        <v>-2500</v>
      </c>
      <c r="AP63" s="6">
        <v>-4167</v>
      </c>
      <c r="AQ63" s="6">
        <v>-2500</v>
      </c>
      <c r="AR63" s="6">
        <v>-2500</v>
      </c>
      <c r="AT63" s="6">
        <v>-4167</v>
      </c>
      <c r="AU63" s="6">
        <v>-2500</v>
      </c>
      <c r="AV63" s="6">
        <v>-2500</v>
      </c>
      <c r="AX63" s="6">
        <v>-4167</v>
      </c>
      <c r="AY63" s="6">
        <v>-2500</v>
      </c>
      <c r="AZ63" s="6">
        <v>-2500</v>
      </c>
      <c r="BB63" s="6">
        <v>-4167</v>
      </c>
      <c r="BC63" s="6">
        <v>-2500</v>
      </c>
      <c r="BD63" s="6">
        <v>-2500</v>
      </c>
    </row>
    <row r="64" spans="1:56" s="15" customFormat="1" ht="11" thickBot="1" x14ac:dyDescent="0.3">
      <c r="A64" s="2" t="s">
        <v>88</v>
      </c>
      <c r="B64" s="2"/>
      <c r="C64" s="2"/>
      <c r="D64" s="2"/>
      <c r="E64" s="2"/>
      <c r="F64" s="2"/>
      <c r="G64" s="2"/>
      <c r="H64" s="107">
        <f>ROUND(SUM(H62:H63),5)</f>
        <v>-3827.71</v>
      </c>
      <c r="I64" s="107">
        <f>ROUND(SUM(I62:I63),5)</f>
        <v>1820.67</v>
      </c>
      <c r="J64" s="107">
        <f>ROUND(SUM(J62:J63),5)</f>
        <v>2373</v>
      </c>
      <c r="K64" s="108"/>
      <c r="L64" s="107">
        <f>ROUND(SUM(L62:L63),5)</f>
        <v>-1217.1300000000001</v>
      </c>
      <c r="M64" s="107">
        <f>ROUND(SUM(M62:M63),5)</f>
        <v>-1324.06</v>
      </c>
      <c r="N64" s="107">
        <f>ROUND(SUM(N62:N63),5)</f>
        <v>-2038</v>
      </c>
      <c r="O64" s="108"/>
      <c r="P64" s="107">
        <f>ROUND(SUM(P62:P63),5)</f>
        <v>-1137.9000000000001</v>
      </c>
      <c r="Q64" s="107">
        <f>ROUND(SUM(Q62:Q63),5)</f>
        <v>2466.87</v>
      </c>
      <c r="R64" s="107">
        <f>ROUND(SUM(R62:R63),5)</f>
        <v>2404</v>
      </c>
      <c r="S64" s="108"/>
      <c r="T64" s="107">
        <f>ROUND(SUM(T62:T63),5)</f>
        <v>-3080.81</v>
      </c>
      <c r="U64" s="107">
        <f>ROUND(SUM(U62:U63),5)</f>
        <v>-672.83</v>
      </c>
      <c r="V64" s="107">
        <f>ROUND(SUM(V62:V63),5)</f>
        <v>1527.08</v>
      </c>
      <c r="W64" s="108"/>
      <c r="X64" s="107">
        <f>ROUND(SUM(X62:X63),5)</f>
        <v>-4468.3900000000003</v>
      </c>
      <c r="Y64" s="107">
        <f>ROUND(SUM(Y62:Y63),5)</f>
        <v>463.96</v>
      </c>
      <c r="Z64" s="107">
        <f>ROUND(SUM(Z62:Z63),5)</f>
        <v>1878.31</v>
      </c>
      <c r="AA64" s="108"/>
      <c r="AB64" s="107">
        <f>ROUND(SUM(AB62:AB63),5)</f>
        <v>2447.2800000000002</v>
      </c>
      <c r="AC64" s="107">
        <f>ROUND(SUM(AC62:AC63),5)</f>
        <v>3571.52</v>
      </c>
      <c r="AD64" s="107">
        <f>ROUND(SUM(AD62:AD63),5)</f>
        <v>4182.95</v>
      </c>
      <c r="AE64" s="108"/>
      <c r="AF64" s="107">
        <f t="shared" si="0"/>
        <v>10327.34</v>
      </c>
      <c r="AH64" s="13">
        <v>3127.13</v>
      </c>
      <c r="AI64" s="13">
        <v>-1825.02</v>
      </c>
      <c r="AJ64" s="13">
        <v>1258.04</v>
      </c>
      <c r="AL64" s="13">
        <v>-1725.33</v>
      </c>
      <c r="AM64" s="13">
        <v>4685.55</v>
      </c>
      <c r="AN64" s="13">
        <v>468</v>
      </c>
      <c r="AP64" s="13">
        <v>587.19000000000005</v>
      </c>
      <c r="AQ64" s="13">
        <v>-7394.58</v>
      </c>
      <c r="AR64" s="13">
        <v>7450.45</v>
      </c>
      <c r="AT64" s="13">
        <v>-5302.53</v>
      </c>
      <c r="AU64" s="13">
        <v>2926.07</v>
      </c>
      <c r="AV64" s="13">
        <v>-9066.56</v>
      </c>
      <c r="AX64" s="13">
        <v>-840</v>
      </c>
      <c r="AY64" s="13">
        <v>2148.77</v>
      </c>
      <c r="AZ64" s="13">
        <v>-5570.12</v>
      </c>
      <c r="BB64" s="13">
        <v>-2.16</v>
      </c>
      <c r="BC64" s="13">
        <v>606.63</v>
      </c>
      <c r="BD64" s="13">
        <v>957.47</v>
      </c>
    </row>
    <row r="65" ht="15" thickTop="1" x14ac:dyDescent="0.35"/>
  </sheetData>
  <pageMargins left="0.7" right="0.7" top="0.75" bottom="0.75" header="0.1" footer="0.3"/>
  <pageSetup orientation="portrait" r:id="rId1"/>
  <headerFooter>
    <oddHeader>&amp;L&amp;"Arial,Bold"&amp;8 9:11 PM
&amp;"Arial,Bold"&amp;8 01/25/22
&amp;"Arial,Bold"&amp;8 Accrual Basis&amp;C&amp;"Arial,Bold"&amp;12 Dockton Water Association
&amp;"Arial,Bold"&amp;14 Profit &amp;&amp; Loss
&amp;"Arial,Bold"&amp;10 July 2019 through December 2021</oddHeader>
    <oddFooter>&amp;R&amp;"Arial,Bold"&amp;8 Page &amp;P of &amp;N</oddFooter>
  </headerFooter>
  <drawing r:id="rId2"/>
  <legacyDrawing r:id="rId3"/>
  <controls>
    <mc:AlternateContent xmlns:mc="http://schemas.openxmlformats.org/markup-compatibility/2006">
      <mc:Choice Requires="x14">
        <control shapeId="29698" r:id="rId4" name="HEADER">
          <controlPr defaultSize="0" autoLine="0" autoPict="0" r:id="rId5">
            <anchor moveWithCells="1">
              <from>
                <xdr:col>0</xdr:col>
                <xdr:colOff>0</xdr:colOff>
                <xdr:row>0</xdr:row>
                <xdr:rowOff>0</xdr:rowOff>
              </from>
              <to>
                <xdr:col>4</xdr:col>
                <xdr:colOff>114300</xdr:colOff>
                <xdr:row>1</xdr:row>
                <xdr:rowOff>31750</xdr:rowOff>
              </to>
            </anchor>
          </controlPr>
        </control>
      </mc:Choice>
      <mc:Fallback>
        <control shapeId="29698" r:id="rId4" name="HEADER"/>
      </mc:Fallback>
    </mc:AlternateContent>
    <mc:AlternateContent xmlns:mc="http://schemas.openxmlformats.org/markup-compatibility/2006">
      <mc:Choice Requires="x14">
        <control shapeId="29697" r:id="rId6" name="FILTER">
          <controlPr defaultSize="0" autoLine="0" autoPict="0" r:id="rId7">
            <anchor moveWithCells="1">
              <from>
                <xdr:col>0</xdr:col>
                <xdr:colOff>0</xdr:colOff>
                <xdr:row>0</xdr:row>
                <xdr:rowOff>0</xdr:rowOff>
              </from>
              <to>
                <xdr:col>4</xdr:col>
                <xdr:colOff>114300</xdr:colOff>
                <xdr:row>1</xdr:row>
                <xdr:rowOff>31750</xdr:rowOff>
              </to>
            </anchor>
          </controlPr>
        </control>
      </mc:Choice>
      <mc:Fallback>
        <control shapeId="29697" r:id="rId6" name="FILTER"/>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Summary Budget</vt:lpstr>
      <vt:lpstr>2024 Ops DRAFT Budget</vt:lpstr>
      <vt:lpstr>2023 FCST Supporting Data</vt:lpstr>
      <vt:lpstr>2024 Capital DRAFT Budget</vt:lpstr>
      <vt:lpstr>CAP IMPROVE Actl 2019-2022</vt:lpstr>
      <vt:lpstr>2023 Ops Budget</vt:lpstr>
      <vt:lpstr>2023 Capital DRAFT Budget</vt:lpstr>
      <vt:lpstr>Monthly Act Capital funds 2022</vt:lpstr>
      <vt:lpstr>OPS Actl 2019-2022</vt:lpstr>
      <vt:lpstr>OPS Actl 21-22</vt:lpstr>
      <vt:lpstr>2020 Budget</vt:lpstr>
      <vt:lpstr>2021 Budget</vt:lpstr>
      <vt:lpstr>2022 Forecast Fix</vt:lpstr>
      <vt:lpstr>2022 Forecast Worksheet</vt:lpstr>
      <vt:lpstr>'2024 Capital DRAFT Budget'!Print_Area</vt:lpstr>
      <vt:lpstr>'2024 Ops DRAFT Budget'!Print_Area</vt:lpstr>
      <vt:lpstr>'Summary Budget'!Print_Area</vt:lpstr>
      <vt:lpstr>'2020 Budget'!Print_Titles</vt:lpstr>
      <vt:lpstr>'2021 Budget'!Print_Titles</vt:lpstr>
      <vt:lpstr>'2022 Forecast Fix'!Print_Titles</vt:lpstr>
      <vt:lpstr>'2022 Forecast Worksheet'!Print_Titles</vt:lpstr>
      <vt:lpstr>'2023 Capital DRAFT Budget'!Print_Titles</vt:lpstr>
      <vt:lpstr>'2023 Ops Budget'!Print_Titles</vt:lpstr>
      <vt:lpstr>'2024 Capital DRAFT Budget'!Print_Titles</vt:lpstr>
      <vt:lpstr>'CAP IMPROVE Actl 2019-2022'!Print_Titles</vt:lpstr>
      <vt:lpstr>'Monthly Act Capital funds 2022'!Print_Titles</vt:lpstr>
      <vt:lpstr>'OPS Actl 2019-2022'!Print_Titles</vt:lpstr>
      <vt:lpstr>'OPS Actl 21-22'!Print_Titles</vt:lpstr>
      <vt:lpstr>ssociation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KRobinson</dc:creator>
  <cp:lastModifiedBy>Todd Currie</cp:lastModifiedBy>
  <cp:lastPrinted>2023-06-03T17:28:07Z</cp:lastPrinted>
  <dcterms:created xsi:type="dcterms:W3CDTF">2022-01-26T04:42:55Z</dcterms:created>
  <dcterms:modified xsi:type="dcterms:W3CDTF">2023-06-21T23:07:33Z</dcterms:modified>
</cp:coreProperties>
</file>