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a6ade200dd9c71/Documents/DWA Board/"/>
    </mc:Choice>
  </mc:AlternateContent>
  <xr:revisionPtr revIDLastSave="1276" documentId="8_{8A9807FA-3057-4359-BA41-59E75310C6FB}" xr6:coauthVersionLast="47" xr6:coauthVersionMax="47" xr10:uidLastSave="{87312070-CC44-4BD4-AAD7-3DB1793DAD5E}"/>
  <bookViews>
    <workbookView xWindow="-110" yWindow="-110" windowWidth="27580" windowHeight="17860" xr2:uid="{A414C07A-DD96-4C71-B73C-CBBAA3C77E72}"/>
  </bookViews>
  <sheets>
    <sheet name="25-Year Model" sheetId="1" r:id="rId1"/>
    <sheet name="Billings" sheetId="4" r:id="rId2"/>
    <sheet name="Loan-Project Cycle" sheetId="3" r:id="rId3"/>
    <sheet name="Model CIP" sheetId="2" r:id="rId4"/>
  </sheets>
  <definedNames>
    <definedName name="_xlnm._FilterDatabase" localSheetId="0" hidden="1">'25-Year Model'!$I$47:$AG$47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'25-Year Model'!$C$1:$AG$116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1" i="1" l="1"/>
  <c r="AH46" i="1"/>
  <c r="AH12" i="1"/>
  <c r="AH13" i="1"/>
  <c r="AH17" i="1"/>
  <c r="L51" i="1"/>
  <c r="V77" i="1"/>
  <c r="AG18" i="1"/>
  <c r="AG16" i="1"/>
  <c r="H53" i="1" l="1"/>
  <c r="AG206" i="1"/>
  <c r="K154" i="1"/>
  <c r="L154" i="1" s="1"/>
  <c r="AF205" i="1"/>
  <c r="AE204" i="1"/>
  <c r="AD203" i="1"/>
  <c r="AC202" i="1"/>
  <c r="AB201" i="1"/>
  <c r="AA200" i="1"/>
  <c r="Z199" i="1"/>
  <c r="Y198" i="1"/>
  <c r="X197" i="1"/>
  <c r="W196" i="1"/>
  <c r="V195" i="1"/>
  <c r="U194" i="1"/>
  <c r="T193" i="1"/>
  <c r="S192" i="1"/>
  <c r="R191" i="1"/>
  <c r="Q190" i="1"/>
  <c r="P189" i="1"/>
  <c r="O188" i="1"/>
  <c r="N187" i="1"/>
  <c r="M186" i="1"/>
  <c r="L185" i="1"/>
  <c r="K184" i="1"/>
  <c r="L184" i="1" s="1"/>
  <c r="M184" i="1" s="1"/>
  <c r="N184" i="1" s="1"/>
  <c r="O184" i="1" s="1"/>
  <c r="P184" i="1" s="1"/>
  <c r="Q184" i="1" s="1"/>
  <c r="R184" i="1" s="1"/>
  <c r="S184" i="1" s="1"/>
  <c r="T184" i="1" s="1"/>
  <c r="U184" i="1" s="1"/>
  <c r="V184" i="1" s="1"/>
  <c r="W184" i="1" s="1"/>
  <c r="X184" i="1" s="1"/>
  <c r="Y184" i="1" s="1"/>
  <c r="Z184" i="1" s="1"/>
  <c r="AA184" i="1" s="1"/>
  <c r="AB184" i="1" s="1"/>
  <c r="AC184" i="1" s="1"/>
  <c r="AD184" i="1" s="1"/>
  <c r="J183" i="1"/>
  <c r="K183" i="1" s="1"/>
  <c r="L183" i="1" s="1"/>
  <c r="M183" i="1" s="1"/>
  <c r="N183" i="1" s="1"/>
  <c r="O183" i="1" s="1"/>
  <c r="P183" i="1" s="1"/>
  <c r="Q183" i="1" s="1"/>
  <c r="R183" i="1" s="1"/>
  <c r="S183" i="1" s="1"/>
  <c r="T183" i="1" s="1"/>
  <c r="U183" i="1" s="1"/>
  <c r="V183" i="1" s="1"/>
  <c r="W183" i="1" s="1"/>
  <c r="X183" i="1" s="1"/>
  <c r="Y183" i="1" s="1"/>
  <c r="Z183" i="1" s="1"/>
  <c r="AA183" i="1" s="1"/>
  <c r="AB183" i="1" s="1"/>
  <c r="AC183" i="1" s="1"/>
  <c r="I182" i="1"/>
  <c r="J182" i="1" s="1"/>
  <c r="K182" i="1" s="1"/>
  <c r="L182" i="1" s="1"/>
  <c r="M182" i="1" s="1"/>
  <c r="N182" i="1" s="1"/>
  <c r="O182" i="1" s="1"/>
  <c r="P182" i="1" s="1"/>
  <c r="Q182" i="1" s="1"/>
  <c r="R182" i="1" s="1"/>
  <c r="S182" i="1" s="1"/>
  <c r="T182" i="1" s="1"/>
  <c r="U182" i="1" s="1"/>
  <c r="V182" i="1" s="1"/>
  <c r="W182" i="1" s="1"/>
  <c r="X182" i="1" s="1"/>
  <c r="Y182" i="1" s="1"/>
  <c r="Z182" i="1" s="1"/>
  <c r="AA182" i="1" s="1"/>
  <c r="AB182" i="1" s="1"/>
  <c r="AG176" i="1"/>
  <c r="AF175" i="1"/>
  <c r="AE174" i="1"/>
  <c r="AD173" i="1"/>
  <c r="AC172" i="1"/>
  <c r="AB171" i="1"/>
  <c r="AA170" i="1"/>
  <c r="Z169" i="1"/>
  <c r="Y168" i="1"/>
  <c r="X167" i="1"/>
  <c r="W166" i="1"/>
  <c r="V165" i="1"/>
  <c r="U164" i="1"/>
  <c r="T163" i="1"/>
  <c r="S162" i="1"/>
  <c r="R161" i="1"/>
  <c r="Q160" i="1"/>
  <c r="P159" i="1"/>
  <c r="O158" i="1"/>
  <c r="N157" i="1"/>
  <c r="M156" i="1"/>
  <c r="L155" i="1"/>
  <c r="M155" i="1" s="1"/>
  <c r="N155" i="1" s="1"/>
  <c r="O155" i="1" s="1"/>
  <c r="P155" i="1" s="1"/>
  <c r="Q155" i="1" s="1"/>
  <c r="R155" i="1" s="1"/>
  <c r="S155" i="1" s="1"/>
  <c r="T155" i="1" s="1"/>
  <c r="U155" i="1" s="1"/>
  <c r="V155" i="1" s="1"/>
  <c r="W155" i="1" s="1"/>
  <c r="X155" i="1" s="1"/>
  <c r="Y155" i="1" s="1"/>
  <c r="Z155" i="1" s="1"/>
  <c r="AA155" i="1" s="1"/>
  <c r="AB155" i="1" s="1"/>
  <c r="AC155" i="1" s="1"/>
  <c r="AD155" i="1" s="1"/>
  <c r="J153" i="1"/>
  <c r="K153" i="1" s="1"/>
  <c r="L153" i="1" s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W153" i="1" s="1"/>
  <c r="X153" i="1" s="1"/>
  <c r="Y153" i="1" s="1"/>
  <c r="Z153" i="1" s="1"/>
  <c r="AA153" i="1" s="1"/>
  <c r="AB153" i="1" s="1"/>
  <c r="I152" i="1"/>
  <c r="I177" i="1" s="1"/>
  <c r="I53" i="1" s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Y51" i="1" l="1"/>
  <c r="J152" i="1"/>
  <c r="K152" i="1" s="1"/>
  <c r="L152" i="1" s="1"/>
  <c r="M152" i="1" s="1"/>
  <c r="N152" i="1" s="1"/>
  <c r="M154" i="1"/>
  <c r="N154" i="1" s="1"/>
  <c r="O154" i="1" s="1"/>
  <c r="K177" i="1" l="1"/>
  <c r="K53" i="1" s="1"/>
  <c r="J177" i="1"/>
  <c r="J53" i="1" s="1"/>
  <c r="M177" i="1"/>
  <c r="M53" i="1" s="1"/>
  <c r="L177" i="1"/>
  <c r="L53" i="1" s="1"/>
  <c r="P154" i="1"/>
  <c r="Q154" i="1" s="1"/>
  <c r="R154" i="1" s="1"/>
  <c r="S154" i="1" s="1"/>
  <c r="O152" i="1"/>
  <c r="P152" i="1" s="1"/>
  <c r="Q152" i="1" l="1"/>
  <c r="T154" i="1"/>
  <c r="R152" i="1" l="1"/>
  <c r="U154" i="1"/>
  <c r="S152" i="1" l="1"/>
  <c r="V154" i="1"/>
  <c r="T152" i="1" l="1"/>
  <c r="W154" i="1"/>
  <c r="U152" i="1" l="1"/>
  <c r="X154" i="1"/>
  <c r="V152" i="1" l="1"/>
  <c r="Y154" i="1"/>
  <c r="W152" i="1" l="1"/>
  <c r="Z154" i="1"/>
  <c r="X152" i="1" l="1"/>
  <c r="AA154" i="1"/>
  <c r="Y152" i="1" l="1"/>
  <c r="AB154" i="1"/>
  <c r="Z152" i="1" l="1"/>
  <c r="AC154" i="1"/>
  <c r="AA152" i="1" l="1"/>
  <c r="AB152" i="1" l="1"/>
  <c r="AC152" i="1" l="1"/>
  <c r="AD152" i="1" l="1"/>
  <c r="AE152" i="1" l="1"/>
  <c r="AF152" i="1" l="1"/>
  <c r="AG152" i="1" s="1"/>
  <c r="H122" i="1" l="1"/>
  <c r="I122" i="1" s="1"/>
  <c r="J122" i="1" s="1"/>
  <c r="K122" i="1" s="1"/>
  <c r="L122" i="1" s="1"/>
  <c r="AG148" i="1"/>
  <c r="AF147" i="1"/>
  <c r="AG147" i="1" s="1"/>
  <c r="AE146" i="1"/>
  <c r="AF146" i="1" s="1"/>
  <c r="AG146" i="1" s="1"/>
  <c r="AD145" i="1"/>
  <c r="AF174" i="1" s="1"/>
  <c r="AC144" i="1"/>
  <c r="AD144" i="1" s="1"/>
  <c r="AE144" i="1" s="1"/>
  <c r="AF144" i="1" s="1"/>
  <c r="AG144" i="1" s="1"/>
  <c r="AB143" i="1"/>
  <c r="AC143" i="1" s="1"/>
  <c r="AD143" i="1" s="1"/>
  <c r="AE143" i="1" s="1"/>
  <c r="AF143" i="1" s="1"/>
  <c r="AG143" i="1" s="1"/>
  <c r="AA142" i="1"/>
  <c r="AB142" i="1" s="1"/>
  <c r="AC142" i="1" s="1"/>
  <c r="AD142" i="1" s="1"/>
  <c r="AE142" i="1" s="1"/>
  <c r="AF142" i="1" s="1"/>
  <c r="AG142" i="1" s="1"/>
  <c r="Z141" i="1"/>
  <c r="AB170" i="1" s="1"/>
  <c r="Y140" i="1"/>
  <c r="AA169" i="1" s="1"/>
  <c r="X139" i="1"/>
  <c r="Y139" i="1" s="1"/>
  <c r="Z139" i="1" s="1"/>
  <c r="AA139" i="1" s="1"/>
  <c r="AB139" i="1" s="1"/>
  <c r="AC139" i="1" s="1"/>
  <c r="AD139" i="1" s="1"/>
  <c r="AE139" i="1" s="1"/>
  <c r="AF139" i="1" s="1"/>
  <c r="AG139" i="1" s="1"/>
  <c r="W138" i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V137" i="1"/>
  <c r="X166" i="1" s="1"/>
  <c r="U136" i="1"/>
  <c r="W165" i="1" s="1"/>
  <c r="T135" i="1"/>
  <c r="U135" i="1" s="1"/>
  <c r="V135" i="1" s="1"/>
  <c r="W135" i="1" s="1"/>
  <c r="X135" i="1" s="1"/>
  <c r="Y135" i="1" s="1"/>
  <c r="Z135" i="1" s="1"/>
  <c r="AA135" i="1" s="1"/>
  <c r="AB135" i="1" s="1"/>
  <c r="AC135" i="1" s="1"/>
  <c r="AD135" i="1" s="1"/>
  <c r="AE135" i="1" s="1"/>
  <c r="AF135" i="1" s="1"/>
  <c r="AG135" i="1" s="1"/>
  <c r="S134" i="1"/>
  <c r="T134" i="1" s="1"/>
  <c r="U134" i="1" s="1"/>
  <c r="V134" i="1" s="1"/>
  <c r="W134" i="1" s="1"/>
  <c r="X134" i="1" s="1"/>
  <c r="Y134" i="1" s="1"/>
  <c r="Z134" i="1" s="1"/>
  <c r="AA134" i="1" s="1"/>
  <c r="AB134" i="1" s="1"/>
  <c r="AC134" i="1" s="1"/>
  <c r="AD134" i="1" s="1"/>
  <c r="AE134" i="1" s="1"/>
  <c r="AF134" i="1" s="1"/>
  <c r="AG134" i="1" s="1"/>
  <c r="R133" i="1"/>
  <c r="T162" i="1" s="1"/>
  <c r="Q132" i="1"/>
  <c r="S161" i="1" s="1"/>
  <c r="P131" i="1"/>
  <c r="Q131" i="1" s="1"/>
  <c r="R131" i="1" s="1"/>
  <c r="S131" i="1" s="1"/>
  <c r="T131" i="1" s="1"/>
  <c r="U131" i="1" s="1"/>
  <c r="V131" i="1" s="1"/>
  <c r="W131" i="1" s="1"/>
  <c r="X131" i="1" s="1"/>
  <c r="Y131" i="1" s="1"/>
  <c r="Z131" i="1" s="1"/>
  <c r="AA131" i="1" s="1"/>
  <c r="AB131" i="1" s="1"/>
  <c r="AC131" i="1" s="1"/>
  <c r="AD131" i="1" s="1"/>
  <c r="AE131" i="1" s="1"/>
  <c r="AF131" i="1" s="1"/>
  <c r="AG131" i="1" s="1"/>
  <c r="O130" i="1"/>
  <c r="P130" i="1" s="1"/>
  <c r="Q130" i="1" s="1"/>
  <c r="R130" i="1" s="1"/>
  <c r="S130" i="1" s="1"/>
  <c r="T130" i="1" s="1"/>
  <c r="U130" i="1" s="1"/>
  <c r="V130" i="1" s="1"/>
  <c r="W130" i="1" s="1"/>
  <c r="X130" i="1" s="1"/>
  <c r="Y130" i="1" s="1"/>
  <c r="Z130" i="1" s="1"/>
  <c r="AA130" i="1" s="1"/>
  <c r="AB130" i="1" s="1"/>
  <c r="AC130" i="1" s="1"/>
  <c r="AD130" i="1" s="1"/>
  <c r="AE130" i="1" s="1"/>
  <c r="AF130" i="1" s="1"/>
  <c r="AG130" i="1" s="1"/>
  <c r="N129" i="1"/>
  <c r="P158" i="1" s="1"/>
  <c r="M128" i="1"/>
  <c r="O157" i="1" s="1"/>
  <c r="L127" i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K126" i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J125" i="1"/>
  <c r="I124" i="1"/>
  <c r="H123" i="1"/>
  <c r="AE145" i="1" l="1"/>
  <c r="AF145" i="1" s="1"/>
  <c r="AG145" i="1" s="1"/>
  <c r="P157" i="1"/>
  <c r="Q157" i="1" s="1"/>
  <c r="R157" i="1" s="1"/>
  <c r="S157" i="1" s="1"/>
  <c r="T157" i="1" s="1"/>
  <c r="U157" i="1" s="1"/>
  <c r="V157" i="1" s="1"/>
  <c r="W157" i="1" s="1"/>
  <c r="X157" i="1" s="1"/>
  <c r="Y157" i="1" s="1"/>
  <c r="Z157" i="1" s="1"/>
  <c r="AA157" i="1" s="1"/>
  <c r="AB157" i="1" s="1"/>
  <c r="AC157" i="1" s="1"/>
  <c r="AD157" i="1" s="1"/>
  <c r="AE157" i="1" s="1"/>
  <c r="AF157" i="1" s="1"/>
  <c r="Q189" i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T161" i="1"/>
  <c r="U161" i="1" s="1"/>
  <c r="V161" i="1" s="1"/>
  <c r="W161" i="1" s="1"/>
  <c r="X161" i="1" s="1"/>
  <c r="Y161" i="1" s="1"/>
  <c r="Z161" i="1" s="1"/>
  <c r="AA161" i="1" s="1"/>
  <c r="AB161" i="1" s="1"/>
  <c r="AC161" i="1" s="1"/>
  <c r="AD161" i="1" s="1"/>
  <c r="AE161" i="1" s="1"/>
  <c r="AF161" i="1" s="1"/>
  <c r="AG161" i="1" s="1"/>
  <c r="U193" i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X165" i="1"/>
  <c r="Y165" i="1" s="1"/>
  <c r="Z165" i="1" s="1"/>
  <c r="AA165" i="1" s="1"/>
  <c r="AB165" i="1" s="1"/>
  <c r="AC165" i="1" s="1"/>
  <c r="AD165" i="1" s="1"/>
  <c r="AE165" i="1" s="1"/>
  <c r="AF165" i="1" s="1"/>
  <c r="AG165" i="1" s="1"/>
  <c r="Y197" i="1"/>
  <c r="Z197" i="1" s="1"/>
  <c r="AA197" i="1" s="1"/>
  <c r="AB197" i="1" s="1"/>
  <c r="AC197" i="1" s="1"/>
  <c r="AD197" i="1" s="1"/>
  <c r="AE197" i="1" s="1"/>
  <c r="AF197" i="1" s="1"/>
  <c r="AG197" i="1" s="1"/>
  <c r="AB169" i="1"/>
  <c r="AC169" i="1" s="1"/>
  <c r="AD169" i="1" s="1"/>
  <c r="AE169" i="1" s="1"/>
  <c r="AF169" i="1" s="1"/>
  <c r="AG169" i="1" s="1"/>
  <c r="AC201" i="1"/>
  <c r="AD201" i="1" s="1"/>
  <c r="AE201" i="1" s="1"/>
  <c r="AF201" i="1" s="1"/>
  <c r="AG201" i="1" s="1"/>
  <c r="Q158" i="1"/>
  <c r="R158" i="1" s="1"/>
  <c r="S158" i="1" s="1"/>
  <c r="T158" i="1" s="1"/>
  <c r="U158" i="1" s="1"/>
  <c r="V158" i="1" s="1"/>
  <c r="W158" i="1" s="1"/>
  <c r="X158" i="1" s="1"/>
  <c r="Y158" i="1" s="1"/>
  <c r="Z158" i="1" s="1"/>
  <c r="AA158" i="1" s="1"/>
  <c r="AB158" i="1" s="1"/>
  <c r="AC158" i="1" s="1"/>
  <c r="AD158" i="1" s="1"/>
  <c r="AE158" i="1" s="1"/>
  <c r="AF158" i="1" s="1"/>
  <c r="R190" i="1"/>
  <c r="S190" i="1" s="1"/>
  <c r="T190" i="1" s="1"/>
  <c r="U190" i="1" s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U162" i="1"/>
  <c r="V162" i="1" s="1"/>
  <c r="W162" i="1" s="1"/>
  <c r="X162" i="1" s="1"/>
  <c r="Y162" i="1" s="1"/>
  <c r="Z162" i="1" s="1"/>
  <c r="AA162" i="1" s="1"/>
  <c r="AB162" i="1" s="1"/>
  <c r="AC162" i="1" s="1"/>
  <c r="AD162" i="1" s="1"/>
  <c r="AE162" i="1" s="1"/>
  <c r="AF162" i="1" s="1"/>
  <c r="AG162" i="1" s="1"/>
  <c r="V194" i="1"/>
  <c r="W194" i="1" s="1"/>
  <c r="X194" i="1" s="1"/>
  <c r="Y194" i="1" s="1"/>
  <c r="Z194" i="1" s="1"/>
  <c r="AA194" i="1" s="1"/>
  <c r="AB194" i="1" s="1"/>
  <c r="AC194" i="1" s="1"/>
  <c r="AD194" i="1" s="1"/>
  <c r="AE194" i="1" s="1"/>
  <c r="AF194" i="1" s="1"/>
  <c r="AG194" i="1" s="1"/>
  <c r="Y166" i="1"/>
  <c r="Z166" i="1" s="1"/>
  <c r="AA166" i="1" s="1"/>
  <c r="AB166" i="1" s="1"/>
  <c r="AC166" i="1" s="1"/>
  <c r="AD166" i="1" s="1"/>
  <c r="AE166" i="1" s="1"/>
  <c r="AF166" i="1" s="1"/>
  <c r="AG166" i="1" s="1"/>
  <c r="Z198" i="1"/>
  <c r="AA198" i="1" s="1"/>
  <c r="AB198" i="1" s="1"/>
  <c r="AC198" i="1" s="1"/>
  <c r="AD198" i="1" s="1"/>
  <c r="AE198" i="1" s="1"/>
  <c r="AF198" i="1" s="1"/>
  <c r="AG198" i="1" s="1"/>
  <c r="AC170" i="1"/>
  <c r="AD170" i="1" s="1"/>
  <c r="AE170" i="1" s="1"/>
  <c r="AF170" i="1" s="1"/>
  <c r="AG170" i="1" s="1"/>
  <c r="AD202" i="1"/>
  <c r="AE202" i="1" s="1"/>
  <c r="AF202" i="1" s="1"/>
  <c r="AG202" i="1" s="1"/>
  <c r="AG174" i="1"/>
  <c r="K125" i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S133" i="1"/>
  <c r="T133" i="1" s="1"/>
  <c r="U133" i="1" s="1"/>
  <c r="V133" i="1" s="1"/>
  <c r="W133" i="1" s="1"/>
  <c r="X133" i="1" s="1"/>
  <c r="Y133" i="1" s="1"/>
  <c r="Z133" i="1" s="1"/>
  <c r="AA133" i="1" s="1"/>
  <c r="AB133" i="1" s="1"/>
  <c r="AC133" i="1" s="1"/>
  <c r="AD133" i="1" s="1"/>
  <c r="AE133" i="1" s="1"/>
  <c r="AF133" i="1" s="1"/>
  <c r="AG133" i="1" s="1"/>
  <c r="W137" i="1"/>
  <c r="X137" i="1" s="1"/>
  <c r="Y137" i="1" s="1"/>
  <c r="Z137" i="1" s="1"/>
  <c r="AA137" i="1" s="1"/>
  <c r="AB137" i="1" s="1"/>
  <c r="AC137" i="1" s="1"/>
  <c r="AD137" i="1" s="1"/>
  <c r="AE137" i="1" s="1"/>
  <c r="AF137" i="1" s="1"/>
  <c r="AG137" i="1" s="1"/>
  <c r="AA141" i="1"/>
  <c r="AB141" i="1" s="1"/>
  <c r="AC141" i="1" s="1"/>
  <c r="AD141" i="1" s="1"/>
  <c r="AE141" i="1" s="1"/>
  <c r="AF141" i="1" s="1"/>
  <c r="AG141" i="1" s="1"/>
  <c r="O129" i="1"/>
  <c r="P129" i="1" s="1"/>
  <c r="Q129" i="1" s="1"/>
  <c r="R129" i="1" s="1"/>
  <c r="S129" i="1" s="1"/>
  <c r="T129" i="1" s="1"/>
  <c r="U129" i="1" s="1"/>
  <c r="V129" i="1" s="1"/>
  <c r="W129" i="1" s="1"/>
  <c r="X129" i="1" s="1"/>
  <c r="Y129" i="1" s="1"/>
  <c r="Z129" i="1" s="1"/>
  <c r="AA129" i="1" s="1"/>
  <c r="AB129" i="1" s="1"/>
  <c r="AC129" i="1" s="1"/>
  <c r="AD129" i="1" s="1"/>
  <c r="AE129" i="1" s="1"/>
  <c r="AF129" i="1" s="1"/>
  <c r="AG129" i="1" s="1"/>
  <c r="N156" i="1"/>
  <c r="N177" i="1" s="1"/>
  <c r="N53" i="1" s="1"/>
  <c r="V164" i="1"/>
  <c r="AD172" i="1"/>
  <c r="M185" i="1"/>
  <c r="N185" i="1" s="1"/>
  <c r="O185" i="1" s="1"/>
  <c r="P185" i="1" s="1"/>
  <c r="Q185" i="1" s="1"/>
  <c r="R185" i="1" s="1"/>
  <c r="S185" i="1" s="1"/>
  <c r="T185" i="1" s="1"/>
  <c r="U185" i="1" s="1"/>
  <c r="V185" i="1" s="1"/>
  <c r="W185" i="1" s="1"/>
  <c r="X185" i="1" s="1"/>
  <c r="Y185" i="1" s="1"/>
  <c r="Z185" i="1" s="1"/>
  <c r="AA185" i="1" s="1"/>
  <c r="AB185" i="1" s="1"/>
  <c r="AC185" i="1" s="1"/>
  <c r="AD185" i="1" s="1"/>
  <c r="AE185" i="1" s="1"/>
  <c r="Q159" i="1"/>
  <c r="Y167" i="1"/>
  <c r="AE173" i="1"/>
  <c r="N186" i="1"/>
  <c r="O186" i="1" s="1"/>
  <c r="P186" i="1" s="1"/>
  <c r="Q186" i="1" s="1"/>
  <c r="R186" i="1" s="1"/>
  <c r="S186" i="1" s="1"/>
  <c r="T186" i="1" s="1"/>
  <c r="U186" i="1" s="1"/>
  <c r="V186" i="1" s="1"/>
  <c r="W186" i="1" s="1"/>
  <c r="X186" i="1" s="1"/>
  <c r="Y186" i="1" s="1"/>
  <c r="Z186" i="1" s="1"/>
  <c r="AA186" i="1" s="1"/>
  <c r="AB186" i="1" s="1"/>
  <c r="AC186" i="1" s="1"/>
  <c r="AD186" i="1" s="1"/>
  <c r="AE186" i="1" s="1"/>
  <c r="AF186" i="1" s="1"/>
  <c r="R160" i="1"/>
  <c r="Z168" i="1"/>
  <c r="U163" i="1"/>
  <c r="AC171" i="1"/>
  <c r="AG175" i="1"/>
  <c r="I123" i="1"/>
  <c r="J123" i="1" s="1"/>
  <c r="K123" i="1" s="1"/>
  <c r="L123" i="1" s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J124" i="1"/>
  <c r="K124" i="1" s="1"/>
  <c r="L124" i="1" s="1"/>
  <c r="M124" i="1" s="1"/>
  <c r="N124" i="1" s="1"/>
  <c r="O124" i="1" s="1"/>
  <c r="P124" i="1" s="1"/>
  <c r="Q124" i="1" s="1"/>
  <c r="R124" i="1" s="1"/>
  <c r="S124" i="1" s="1"/>
  <c r="T124" i="1" s="1"/>
  <c r="U124" i="1" s="1"/>
  <c r="V124" i="1" s="1"/>
  <c r="W124" i="1" s="1"/>
  <c r="X124" i="1" s="1"/>
  <c r="Y124" i="1" s="1"/>
  <c r="Z124" i="1" s="1"/>
  <c r="AA124" i="1" s="1"/>
  <c r="AB124" i="1" s="1"/>
  <c r="AC124" i="1" s="1"/>
  <c r="N128" i="1"/>
  <c r="O128" i="1" s="1"/>
  <c r="P128" i="1" s="1"/>
  <c r="Q128" i="1" s="1"/>
  <c r="R128" i="1" s="1"/>
  <c r="S128" i="1" s="1"/>
  <c r="T128" i="1" s="1"/>
  <c r="U128" i="1" s="1"/>
  <c r="V128" i="1" s="1"/>
  <c r="W128" i="1" s="1"/>
  <c r="X128" i="1" s="1"/>
  <c r="Y128" i="1" s="1"/>
  <c r="Z128" i="1" s="1"/>
  <c r="AA128" i="1" s="1"/>
  <c r="AB128" i="1" s="1"/>
  <c r="AC128" i="1" s="1"/>
  <c r="AD128" i="1" s="1"/>
  <c r="AE128" i="1" s="1"/>
  <c r="AF128" i="1" s="1"/>
  <c r="AG128" i="1" s="1"/>
  <c r="R132" i="1"/>
  <c r="S132" i="1" s="1"/>
  <c r="T132" i="1" s="1"/>
  <c r="U132" i="1" s="1"/>
  <c r="V132" i="1" s="1"/>
  <c r="W132" i="1" s="1"/>
  <c r="X132" i="1" s="1"/>
  <c r="Y132" i="1" s="1"/>
  <c r="Z132" i="1" s="1"/>
  <c r="AA132" i="1" s="1"/>
  <c r="AB132" i="1" s="1"/>
  <c r="AC132" i="1" s="1"/>
  <c r="AD132" i="1" s="1"/>
  <c r="AE132" i="1" s="1"/>
  <c r="AF132" i="1" s="1"/>
  <c r="AG132" i="1" s="1"/>
  <c r="V136" i="1"/>
  <c r="W136" i="1" s="1"/>
  <c r="X136" i="1" s="1"/>
  <c r="Y136" i="1" s="1"/>
  <c r="Z136" i="1" s="1"/>
  <c r="AA136" i="1" s="1"/>
  <c r="AB136" i="1" s="1"/>
  <c r="AC136" i="1" s="1"/>
  <c r="AD136" i="1" s="1"/>
  <c r="AE136" i="1" s="1"/>
  <c r="AF136" i="1" s="1"/>
  <c r="AG136" i="1" s="1"/>
  <c r="Z140" i="1"/>
  <c r="AA140" i="1" s="1"/>
  <c r="AB140" i="1" s="1"/>
  <c r="AC140" i="1" s="1"/>
  <c r="AD140" i="1" s="1"/>
  <c r="AE140" i="1" s="1"/>
  <c r="AF140" i="1" s="1"/>
  <c r="AG140" i="1" s="1"/>
  <c r="M122" i="1"/>
  <c r="N122" i="1" s="1"/>
  <c r="O122" i="1" s="1"/>
  <c r="P122" i="1" s="1"/>
  <c r="Q122" i="1" s="1"/>
  <c r="R122" i="1" s="1"/>
  <c r="S122" i="1" s="1"/>
  <c r="T122" i="1" s="1"/>
  <c r="U122" i="1" s="1"/>
  <c r="V122" i="1" s="1"/>
  <c r="W122" i="1" s="1"/>
  <c r="X122" i="1" s="1"/>
  <c r="Y122" i="1" s="1"/>
  <c r="Z122" i="1" s="1"/>
  <c r="AA122" i="1" s="1"/>
  <c r="AB122" i="1" s="1"/>
  <c r="AC122" i="1" s="1"/>
  <c r="AD122" i="1" s="1"/>
  <c r="AE122" i="1" s="1"/>
  <c r="AF122" i="1" s="1"/>
  <c r="AG122" i="1" s="1"/>
  <c r="V18" i="1"/>
  <c r="J23" i="1"/>
  <c r="J80" i="1" s="1"/>
  <c r="AD171" i="1" l="1"/>
  <c r="AE171" i="1" s="1"/>
  <c r="AF171" i="1" s="1"/>
  <c r="AG171" i="1" s="1"/>
  <c r="AE203" i="1"/>
  <c r="AF203" i="1" s="1"/>
  <c r="AG203" i="1" s="1"/>
  <c r="AA168" i="1"/>
  <c r="AB168" i="1" s="1"/>
  <c r="AC168" i="1" s="1"/>
  <c r="AD168" i="1" s="1"/>
  <c r="AE168" i="1" s="1"/>
  <c r="AF168" i="1" s="1"/>
  <c r="AG168" i="1" s="1"/>
  <c r="AB200" i="1"/>
  <c r="AC200" i="1" s="1"/>
  <c r="AD200" i="1" s="1"/>
  <c r="AE200" i="1" s="1"/>
  <c r="AF200" i="1" s="1"/>
  <c r="AG200" i="1" s="1"/>
  <c r="Z167" i="1"/>
  <c r="AA167" i="1" s="1"/>
  <c r="AB167" i="1" s="1"/>
  <c r="AC167" i="1" s="1"/>
  <c r="AD167" i="1" s="1"/>
  <c r="AE167" i="1" s="1"/>
  <c r="AF167" i="1" s="1"/>
  <c r="AG167" i="1" s="1"/>
  <c r="AA199" i="1"/>
  <c r="AB199" i="1" s="1"/>
  <c r="AC199" i="1" s="1"/>
  <c r="AD199" i="1" s="1"/>
  <c r="AE199" i="1" s="1"/>
  <c r="AF199" i="1" s="1"/>
  <c r="AG199" i="1" s="1"/>
  <c r="W164" i="1"/>
  <c r="X164" i="1" s="1"/>
  <c r="Y164" i="1" s="1"/>
  <c r="Z164" i="1" s="1"/>
  <c r="AA164" i="1" s="1"/>
  <c r="AB164" i="1" s="1"/>
  <c r="AC164" i="1" s="1"/>
  <c r="AD164" i="1" s="1"/>
  <c r="AE164" i="1" s="1"/>
  <c r="AF164" i="1" s="1"/>
  <c r="AG164" i="1" s="1"/>
  <c r="X196" i="1"/>
  <c r="Y196" i="1" s="1"/>
  <c r="Z196" i="1" s="1"/>
  <c r="AA196" i="1" s="1"/>
  <c r="AB196" i="1" s="1"/>
  <c r="AC196" i="1" s="1"/>
  <c r="AD196" i="1" s="1"/>
  <c r="AE196" i="1" s="1"/>
  <c r="AF196" i="1" s="1"/>
  <c r="AG196" i="1" s="1"/>
  <c r="AF173" i="1"/>
  <c r="AG173" i="1" s="1"/>
  <c r="AG205" i="1"/>
  <c r="V163" i="1"/>
  <c r="W163" i="1" s="1"/>
  <c r="X163" i="1" s="1"/>
  <c r="Y163" i="1" s="1"/>
  <c r="Z163" i="1" s="1"/>
  <c r="AA163" i="1" s="1"/>
  <c r="AB163" i="1" s="1"/>
  <c r="AC163" i="1" s="1"/>
  <c r="AD163" i="1" s="1"/>
  <c r="AE163" i="1" s="1"/>
  <c r="AF163" i="1" s="1"/>
  <c r="AG163" i="1" s="1"/>
  <c r="W195" i="1"/>
  <c r="X195" i="1" s="1"/>
  <c r="Y195" i="1" s="1"/>
  <c r="Z195" i="1" s="1"/>
  <c r="AA195" i="1" s="1"/>
  <c r="AB195" i="1" s="1"/>
  <c r="AC195" i="1" s="1"/>
  <c r="AD195" i="1" s="1"/>
  <c r="AE195" i="1" s="1"/>
  <c r="AF195" i="1" s="1"/>
  <c r="AG195" i="1" s="1"/>
  <c r="S160" i="1"/>
  <c r="T160" i="1" s="1"/>
  <c r="U160" i="1" s="1"/>
  <c r="V160" i="1" s="1"/>
  <c r="W160" i="1" s="1"/>
  <c r="X160" i="1" s="1"/>
  <c r="Y160" i="1" s="1"/>
  <c r="Z160" i="1" s="1"/>
  <c r="AA160" i="1" s="1"/>
  <c r="AB160" i="1" s="1"/>
  <c r="AC160" i="1" s="1"/>
  <c r="AD160" i="1" s="1"/>
  <c r="AE160" i="1" s="1"/>
  <c r="AF160" i="1" s="1"/>
  <c r="AG160" i="1" s="1"/>
  <c r="T192" i="1"/>
  <c r="U192" i="1" s="1"/>
  <c r="V192" i="1" s="1"/>
  <c r="W192" i="1" s="1"/>
  <c r="X192" i="1" s="1"/>
  <c r="Y192" i="1" s="1"/>
  <c r="Z192" i="1" s="1"/>
  <c r="AA192" i="1" s="1"/>
  <c r="AB192" i="1" s="1"/>
  <c r="AC192" i="1" s="1"/>
  <c r="AD192" i="1" s="1"/>
  <c r="AE192" i="1" s="1"/>
  <c r="AF192" i="1" s="1"/>
  <c r="AG192" i="1" s="1"/>
  <c r="R159" i="1"/>
  <c r="S159" i="1" s="1"/>
  <c r="T159" i="1" s="1"/>
  <c r="U159" i="1" s="1"/>
  <c r="V159" i="1" s="1"/>
  <c r="W159" i="1" s="1"/>
  <c r="X159" i="1" s="1"/>
  <c r="Y159" i="1" s="1"/>
  <c r="Z159" i="1" s="1"/>
  <c r="AA159" i="1" s="1"/>
  <c r="AB159" i="1" s="1"/>
  <c r="AC159" i="1" s="1"/>
  <c r="AD159" i="1" s="1"/>
  <c r="AE159" i="1" s="1"/>
  <c r="AF159" i="1" s="1"/>
  <c r="AG159" i="1" s="1"/>
  <c r="S191" i="1"/>
  <c r="T191" i="1" s="1"/>
  <c r="U191" i="1" s="1"/>
  <c r="V191" i="1" s="1"/>
  <c r="W191" i="1" s="1"/>
  <c r="X191" i="1" s="1"/>
  <c r="Y191" i="1" s="1"/>
  <c r="Z191" i="1" s="1"/>
  <c r="AA191" i="1" s="1"/>
  <c r="AB191" i="1" s="1"/>
  <c r="AC191" i="1" s="1"/>
  <c r="AD191" i="1" s="1"/>
  <c r="AE191" i="1" s="1"/>
  <c r="AF191" i="1" s="1"/>
  <c r="AG191" i="1" s="1"/>
  <c r="O156" i="1"/>
  <c r="P188" i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E172" i="1"/>
  <c r="AF172" i="1" s="1"/>
  <c r="AG172" i="1" s="1"/>
  <c r="AF204" i="1"/>
  <c r="AG204" i="1" s="1"/>
  <c r="O187" i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K23" i="1"/>
  <c r="K54" i="1" s="1"/>
  <c r="J54" i="1"/>
  <c r="P156" i="1" l="1"/>
  <c r="O177" i="1"/>
  <c r="O53" i="1" s="1"/>
  <c r="AG177" i="1"/>
  <c r="AG53" i="1" s="1"/>
  <c r="AF177" i="1"/>
  <c r="AF53" i="1" s="1"/>
  <c r="L23" i="1"/>
  <c r="L54" i="1" s="1"/>
  <c r="K80" i="1"/>
  <c r="F219" i="1"/>
  <c r="F211" i="1"/>
  <c r="K17" i="1"/>
  <c r="L17" i="1" s="1"/>
  <c r="M17" i="1" s="1"/>
  <c r="N17" i="1" s="1"/>
  <c r="O17" i="1" s="1"/>
  <c r="P17" i="1" s="1"/>
  <c r="Q156" i="1" l="1"/>
  <c r="P177" i="1"/>
  <c r="P53" i="1" s="1"/>
  <c r="L80" i="1"/>
  <c r="M23" i="1"/>
  <c r="M54" i="1" s="1"/>
  <c r="AA51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I30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M18" i="1"/>
  <c r="N18" i="1"/>
  <c r="O18" i="1"/>
  <c r="O27" i="1" s="1"/>
  <c r="P18" i="1"/>
  <c r="P27" i="1" s="1"/>
  <c r="Q18" i="1"/>
  <c r="Q27" i="1" s="1"/>
  <c r="R18" i="1"/>
  <c r="S18" i="1"/>
  <c r="S27" i="1" s="1"/>
  <c r="T18" i="1"/>
  <c r="T27" i="1" s="1"/>
  <c r="U18" i="1"/>
  <c r="U27" i="1" s="1"/>
  <c r="W18" i="1"/>
  <c r="W27" i="1" s="1"/>
  <c r="X18" i="1"/>
  <c r="X27" i="1" s="1"/>
  <c r="Y18" i="1"/>
  <c r="Z18" i="1"/>
  <c r="AA18" i="1"/>
  <c r="AA27" i="1" s="1"/>
  <c r="AB18" i="1"/>
  <c r="AB27" i="1" s="1"/>
  <c r="AC18" i="1"/>
  <c r="AD18" i="1"/>
  <c r="AE18" i="1"/>
  <c r="AE27" i="1" s="1"/>
  <c r="AF18" i="1"/>
  <c r="AF27" i="1" s="1"/>
  <c r="AG27" i="1"/>
  <c r="M51" i="1"/>
  <c r="N51" i="1"/>
  <c r="O51" i="1"/>
  <c r="P51" i="1"/>
  <c r="Q51" i="1"/>
  <c r="R51" i="1"/>
  <c r="S51" i="1"/>
  <c r="T51" i="1"/>
  <c r="U51" i="1"/>
  <c r="V51" i="1"/>
  <c r="W51" i="1"/>
  <c r="X51" i="1"/>
  <c r="Z51" i="1"/>
  <c r="AC51" i="1"/>
  <c r="M77" i="1"/>
  <c r="M110" i="1" s="1"/>
  <c r="N77" i="1"/>
  <c r="N110" i="1" s="1"/>
  <c r="O77" i="1"/>
  <c r="O110" i="1" s="1"/>
  <c r="P77" i="1"/>
  <c r="P110" i="1" s="1"/>
  <c r="Q77" i="1"/>
  <c r="Q110" i="1" s="1"/>
  <c r="R77" i="1"/>
  <c r="R110" i="1" s="1"/>
  <c r="S77" i="1"/>
  <c r="S110" i="1" s="1"/>
  <c r="T77" i="1"/>
  <c r="T110" i="1" s="1"/>
  <c r="U77" i="1"/>
  <c r="U110" i="1" s="1"/>
  <c r="V110" i="1"/>
  <c r="W77" i="1"/>
  <c r="W110" i="1" s="1"/>
  <c r="X77" i="1"/>
  <c r="X110" i="1" s="1"/>
  <c r="Y77" i="1"/>
  <c r="Y110" i="1" s="1"/>
  <c r="Z77" i="1"/>
  <c r="Z110" i="1" s="1"/>
  <c r="AA77" i="1"/>
  <c r="AA110" i="1" s="1"/>
  <c r="AB77" i="1"/>
  <c r="AB110" i="1" s="1"/>
  <c r="AC77" i="1"/>
  <c r="AC110" i="1" s="1"/>
  <c r="AD77" i="1"/>
  <c r="AD110" i="1" s="1"/>
  <c r="AE77" i="1"/>
  <c r="AE110" i="1" s="1"/>
  <c r="AF77" i="1"/>
  <c r="AF110" i="1" s="1"/>
  <c r="AG77" i="1"/>
  <c r="AG110" i="1" s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R156" i="1" l="1"/>
  <c r="Q177" i="1"/>
  <c r="Q53" i="1" s="1"/>
  <c r="M80" i="1"/>
  <c r="M113" i="1" s="1"/>
  <c r="N23" i="1"/>
  <c r="N80" i="1" s="1"/>
  <c r="AD51" i="1"/>
  <c r="AB51" i="1"/>
  <c r="T28" i="1"/>
  <c r="AB28" i="1"/>
  <c r="AF28" i="1"/>
  <c r="X28" i="1"/>
  <c r="Q28" i="1"/>
  <c r="U28" i="1"/>
  <c r="P28" i="1"/>
  <c r="AG28" i="1"/>
  <c r="AD27" i="1"/>
  <c r="Z27" i="1"/>
  <c r="V27" i="1"/>
  <c r="R27" i="1"/>
  <c r="N27" i="1"/>
  <c r="Y27" i="1"/>
  <c r="Y28" i="1" s="1"/>
  <c r="AC27" i="1"/>
  <c r="AC28" i="1" s="1"/>
  <c r="M27" i="1"/>
  <c r="I44" i="1"/>
  <c r="J20" i="1"/>
  <c r="J44" i="1" s="1"/>
  <c r="F10" i="4"/>
  <c r="H211" i="1"/>
  <c r="J38" i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O23" i="1" l="1"/>
  <c r="S156" i="1"/>
  <c r="R177" i="1"/>
  <c r="R53" i="1" s="1"/>
  <c r="N54" i="1"/>
  <c r="AE51" i="1"/>
  <c r="V28" i="1"/>
  <c r="W28" i="1"/>
  <c r="N28" i="1"/>
  <c r="O28" i="1"/>
  <c r="Z28" i="1"/>
  <c r="AA28" i="1"/>
  <c r="R28" i="1"/>
  <c r="S28" i="1"/>
  <c r="AD28" i="1"/>
  <c r="AE28" i="1"/>
  <c r="K20" i="1"/>
  <c r="H54" i="1"/>
  <c r="I5" i="4"/>
  <c r="L5" i="4"/>
  <c r="O5" i="4"/>
  <c r="R5" i="4"/>
  <c r="U5" i="4"/>
  <c r="X5" i="4"/>
  <c r="I6" i="4"/>
  <c r="L6" i="4"/>
  <c r="O6" i="4"/>
  <c r="R6" i="4"/>
  <c r="U6" i="4"/>
  <c r="X6" i="4"/>
  <c r="I7" i="4"/>
  <c r="L7" i="4"/>
  <c r="O7" i="4"/>
  <c r="R7" i="4"/>
  <c r="U7" i="4"/>
  <c r="X7" i="4"/>
  <c r="F7" i="4"/>
  <c r="F6" i="4"/>
  <c r="F5" i="4"/>
  <c r="P23" i="1" l="1"/>
  <c r="O54" i="1"/>
  <c r="O80" i="1"/>
  <c r="T156" i="1"/>
  <c r="S177" i="1"/>
  <c r="S53" i="1" s="1"/>
  <c r="N113" i="1"/>
  <c r="AG51" i="1"/>
  <c r="AF51" i="1"/>
  <c r="L20" i="1"/>
  <c r="M20" i="1" s="1"/>
  <c r="K44" i="1"/>
  <c r="B20" i="2"/>
  <c r="G51" i="1"/>
  <c r="G218" i="1" s="1"/>
  <c r="F108" i="1"/>
  <c r="E108" i="1"/>
  <c r="D108" i="1"/>
  <c r="G108" i="1"/>
  <c r="L219" i="1"/>
  <c r="K219" i="1"/>
  <c r="J219" i="1"/>
  <c r="I219" i="1"/>
  <c r="H219" i="1"/>
  <c r="G219" i="1"/>
  <c r="G211" i="1"/>
  <c r="F121" i="1"/>
  <c r="F120" i="1"/>
  <c r="G115" i="1"/>
  <c r="E114" i="1"/>
  <c r="D114" i="1"/>
  <c r="E113" i="1"/>
  <c r="D113" i="1"/>
  <c r="E112" i="1"/>
  <c r="D112" i="1"/>
  <c r="L111" i="1"/>
  <c r="K111" i="1"/>
  <c r="J111" i="1"/>
  <c r="I111" i="1"/>
  <c r="H111" i="1"/>
  <c r="G111" i="1"/>
  <c r="F111" i="1"/>
  <c r="E111" i="1"/>
  <c r="D111" i="1"/>
  <c r="G110" i="1"/>
  <c r="F110" i="1"/>
  <c r="E110" i="1"/>
  <c r="D110" i="1"/>
  <c r="H107" i="1"/>
  <c r="F107" i="1"/>
  <c r="E107" i="1"/>
  <c r="D107" i="1"/>
  <c r="F106" i="1"/>
  <c r="E106" i="1"/>
  <c r="D106" i="1"/>
  <c r="F105" i="1"/>
  <c r="H103" i="1"/>
  <c r="I80" i="1"/>
  <c r="H80" i="1"/>
  <c r="G80" i="1"/>
  <c r="F80" i="1"/>
  <c r="L77" i="1"/>
  <c r="L110" i="1" s="1"/>
  <c r="I77" i="1"/>
  <c r="I110" i="1" s="1"/>
  <c r="H110" i="1"/>
  <c r="H76" i="1"/>
  <c r="H108" i="1" s="1"/>
  <c r="I54" i="1"/>
  <c r="G54" i="1"/>
  <c r="F54" i="1"/>
  <c r="K51" i="1"/>
  <c r="J51" i="1"/>
  <c r="I51" i="1"/>
  <c r="H51" i="1"/>
  <c r="H214" i="1" s="1"/>
  <c r="F51" i="1"/>
  <c r="E47" i="1"/>
  <c r="H44" i="1"/>
  <c r="H215" i="1" s="1"/>
  <c r="G44" i="1"/>
  <c r="F44" i="1"/>
  <c r="I43" i="1"/>
  <c r="I215" i="1" s="1"/>
  <c r="F43" i="1"/>
  <c r="J42" i="1"/>
  <c r="K42" i="1" s="1"/>
  <c r="L42" i="1" s="1"/>
  <c r="J40" i="1"/>
  <c r="A40" i="1"/>
  <c r="H38" i="1"/>
  <c r="F38" i="1"/>
  <c r="F109" i="1" s="1"/>
  <c r="E38" i="1"/>
  <c r="E109" i="1" s="1"/>
  <c r="D38" i="1"/>
  <c r="I35" i="1"/>
  <c r="G35" i="1"/>
  <c r="E33" i="1"/>
  <c r="E45" i="1" s="1"/>
  <c r="E32" i="1" s="1"/>
  <c r="D47" i="1" s="1"/>
  <c r="X8" i="4"/>
  <c r="X15" i="4" s="1"/>
  <c r="L18" i="1"/>
  <c r="K18" i="1"/>
  <c r="R8" i="4" s="1"/>
  <c r="R13" i="4" s="1"/>
  <c r="J18" i="1"/>
  <c r="I18" i="1"/>
  <c r="AH18" i="1" s="1"/>
  <c r="H18" i="1"/>
  <c r="G18" i="1"/>
  <c r="L16" i="1"/>
  <c r="K16" i="1"/>
  <c r="J16" i="1"/>
  <c r="I16" i="1"/>
  <c r="AH16" i="1" s="1"/>
  <c r="H16" i="1"/>
  <c r="G16" i="1"/>
  <c r="G34" i="1" s="1"/>
  <c r="G15" i="1"/>
  <c r="F15" i="1"/>
  <c r="E15" i="1"/>
  <c r="D15" i="1"/>
  <c r="J11" i="1"/>
  <c r="J77" i="1" s="1"/>
  <c r="J110" i="1" s="1"/>
  <c r="I8" i="1"/>
  <c r="J6" i="1"/>
  <c r="L6" i="1" s="1"/>
  <c r="H6" i="1"/>
  <c r="I10" i="4" s="1"/>
  <c r="I4" i="1"/>
  <c r="AH51" i="1" l="1"/>
  <c r="O113" i="1"/>
  <c r="P54" i="1"/>
  <c r="Q23" i="1"/>
  <c r="U156" i="1"/>
  <c r="T177" i="1"/>
  <c r="T53" i="1" s="1"/>
  <c r="F179" i="1"/>
  <c r="AE180" i="1"/>
  <c r="AE207" i="1" s="1"/>
  <c r="AE79" i="1" s="1"/>
  <c r="AA180" i="1"/>
  <c r="AA207" i="1" s="1"/>
  <c r="AA79" i="1" s="1"/>
  <c r="W180" i="1"/>
  <c r="W207" i="1" s="1"/>
  <c r="W79" i="1" s="1"/>
  <c r="S180" i="1"/>
  <c r="S207" i="1" s="1"/>
  <c r="O180" i="1"/>
  <c r="O207" i="1" s="1"/>
  <c r="K180" i="1"/>
  <c r="K207" i="1" s="1"/>
  <c r="G180" i="1"/>
  <c r="AB180" i="1"/>
  <c r="AB207" i="1" s="1"/>
  <c r="AB79" i="1" s="1"/>
  <c r="X180" i="1"/>
  <c r="X207" i="1" s="1"/>
  <c r="X79" i="1" s="1"/>
  <c r="P180" i="1"/>
  <c r="P207" i="1" s="1"/>
  <c r="AD180" i="1"/>
  <c r="AD207" i="1" s="1"/>
  <c r="AD79" i="1" s="1"/>
  <c r="Z180" i="1"/>
  <c r="Z207" i="1" s="1"/>
  <c r="Z79" i="1" s="1"/>
  <c r="V180" i="1"/>
  <c r="V207" i="1" s="1"/>
  <c r="V79" i="1" s="1"/>
  <c r="R180" i="1"/>
  <c r="R207" i="1" s="1"/>
  <c r="N180" i="1"/>
  <c r="N207" i="1" s="1"/>
  <c r="J180" i="1"/>
  <c r="F180" i="1"/>
  <c r="L180" i="1"/>
  <c r="L207" i="1" s="1"/>
  <c r="AG180" i="1"/>
  <c r="AG207" i="1" s="1"/>
  <c r="AC180" i="1"/>
  <c r="AC207" i="1" s="1"/>
  <c r="AC79" i="1" s="1"/>
  <c r="Y180" i="1"/>
  <c r="Y207" i="1" s="1"/>
  <c r="Y79" i="1" s="1"/>
  <c r="U180" i="1"/>
  <c r="U207" i="1" s="1"/>
  <c r="U79" i="1" s="1"/>
  <c r="Q180" i="1"/>
  <c r="Q207" i="1" s="1"/>
  <c r="M180" i="1"/>
  <c r="M207" i="1" s="1"/>
  <c r="I180" i="1"/>
  <c r="AF180" i="1"/>
  <c r="AF207" i="1" s="1"/>
  <c r="T180" i="1"/>
  <c r="T207" i="1" s="1"/>
  <c r="T79" i="1" s="1"/>
  <c r="H180" i="1"/>
  <c r="G120" i="1"/>
  <c r="G121" i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AA121" i="1" s="1"/>
  <c r="AB121" i="1" s="1"/>
  <c r="AC121" i="1" s="1"/>
  <c r="AD121" i="1" s="1"/>
  <c r="AE121" i="1" s="1"/>
  <c r="AF121" i="1" s="1"/>
  <c r="AG121" i="1" s="1"/>
  <c r="P80" i="1"/>
  <c r="F215" i="1"/>
  <c r="F214" i="1"/>
  <c r="F218" i="1"/>
  <c r="F220" i="1" s="1"/>
  <c r="F210" i="1"/>
  <c r="F212" i="1" s="1"/>
  <c r="M44" i="1"/>
  <c r="N20" i="1"/>
  <c r="L35" i="1"/>
  <c r="N6" i="1"/>
  <c r="M42" i="1"/>
  <c r="N42" i="1" s="1"/>
  <c r="O42" i="1" s="1"/>
  <c r="P42" i="1" s="1"/>
  <c r="Q42" i="1" s="1"/>
  <c r="R42" i="1" s="1"/>
  <c r="X17" i="4"/>
  <c r="Y17" i="4" s="1"/>
  <c r="R21" i="4"/>
  <c r="S21" i="4" s="1"/>
  <c r="X21" i="4"/>
  <c r="Y21" i="4" s="1"/>
  <c r="R15" i="4"/>
  <c r="S15" i="4" s="1"/>
  <c r="X13" i="4"/>
  <c r="R19" i="4"/>
  <c r="S19" i="4" s="1"/>
  <c r="X19" i="4"/>
  <c r="Y19" i="4" s="1"/>
  <c r="R17" i="4"/>
  <c r="S17" i="4" s="1"/>
  <c r="G27" i="1"/>
  <c r="F8" i="4"/>
  <c r="L27" i="1"/>
  <c r="M28" i="1" s="1"/>
  <c r="U8" i="4"/>
  <c r="J27" i="1"/>
  <c r="O8" i="4"/>
  <c r="H27" i="1"/>
  <c r="I8" i="4"/>
  <c r="I27" i="1"/>
  <c r="AH27" i="1" s="1"/>
  <c r="L8" i="4"/>
  <c r="L44" i="1"/>
  <c r="L10" i="4"/>
  <c r="I211" i="1"/>
  <c r="H112" i="1"/>
  <c r="Y15" i="4"/>
  <c r="J4" i="1"/>
  <c r="J113" i="1"/>
  <c r="G214" i="1"/>
  <c r="I75" i="1"/>
  <c r="K11" i="1"/>
  <c r="K77" i="1" s="1"/>
  <c r="K110" i="1" s="1"/>
  <c r="G220" i="1"/>
  <c r="I113" i="1"/>
  <c r="I76" i="1"/>
  <c r="I108" i="1" s="1"/>
  <c r="F72" i="1"/>
  <c r="G50" i="1" s="1"/>
  <c r="G72" i="1" s="1"/>
  <c r="J41" i="1"/>
  <c r="K41" i="1" s="1"/>
  <c r="L41" i="1" s="1"/>
  <c r="F113" i="1"/>
  <c r="H113" i="1"/>
  <c r="L113" i="1"/>
  <c r="K6" i="1"/>
  <c r="J19" i="1"/>
  <c r="F33" i="1"/>
  <c r="F45" i="1" s="1"/>
  <c r="F47" i="1" s="1"/>
  <c r="G32" i="1" s="1"/>
  <c r="J35" i="1"/>
  <c r="H216" i="1"/>
  <c r="G25" i="1"/>
  <c r="G113" i="1"/>
  <c r="K113" i="1"/>
  <c r="F149" i="1"/>
  <c r="G36" i="1"/>
  <c r="K40" i="1"/>
  <c r="J43" i="1"/>
  <c r="K43" i="1" s="1"/>
  <c r="L43" i="1" s="1"/>
  <c r="I112" i="1"/>
  <c r="H15" i="1"/>
  <c r="I15" i="1" s="1"/>
  <c r="I36" i="1" s="1"/>
  <c r="H218" i="1"/>
  <c r="D33" i="1"/>
  <c r="D45" i="1" s="1"/>
  <c r="D32" i="1" s="1"/>
  <c r="D109" i="1"/>
  <c r="J8" i="1"/>
  <c r="G106" i="1"/>
  <c r="H37" i="1"/>
  <c r="H109" i="1" s="1"/>
  <c r="H210" i="1" s="1"/>
  <c r="H212" i="1" s="1"/>
  <c r="K27" i="1"/>
  <c r="I34" i="1"/>
  <c r="F112" i="1"/>
  <c r="G215" i="1"/>
  <c r="G112" i="1"/>
  <c r="H115" i="1"/>
  <c r="I103" i="1"/>
  <c r="Q54" i="1" l="1"/>
  <c r="R23" i="1"/>
  <c r="T114" i="1"/>
  <c r="M150" i="1"/>
  <c r="M79" i="1"/>
  <c r="S150" i="1"/>
  <c r="S79" i="1"/>
  <c r="S114" i="1" s="1"/>
  <c r="O150" i="1"/>
  <c r="O79" i="1"/>
  <c r="Q150" i="1"/>
  <c r="Q79" i="1"/>
  <c r="Q114" i="1" s="1"/>
  <c r="AG150" i="1"/>
  <c r="AG79" i="1"/>
  <c r="AG114" i="1" s="1"/>
  <c r="N150" i="1"/>
  <c r="N79" i="1"/>
  <c r="AF150" i="1"/>
  <c r="AF79" i="1"/>
  <c r="AF114" i="1" s="1"/>
  <c r="L150" i="1"/>
  <c r="L79" i="1"/>
  <c r="R150" i="1"/>
  <c r="R79" i="1"/>
  <c r="R114" i="1" s="1"/>
  <c r="P150" i="1"/>
  <c r="P79" i="1"/>
  <c r="P114" i="1" s="1"/>
  <c r="K150" i="1"/>
  <c r="K79" i="1"/>
  <c r="T150" i="1"/>
  <c r="V156" i="1"/>
  <c r="U177" i="1"/>
  <c r="F207" i="1"/>
  <c r="G179" i="1"/>
  <c r="G207" i="1" s="1"/>
  <c r="H120" i="1"/>
  <c r="G149" i="1"/>
  <c r="F216" i="1"/>
  <c r="P113" i="1"/>
  <c r="Q80" i="1"/>
  <c r="M43" i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K35" i="1"/>
  <c r="M6" i="1"/>
  <c r="M41" i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O20" i="1"/>
  <c r="N44" i="1"/>
  <c r="K215" i="1"/>
  <c r="P6" i="1"/>
  <c r="N35" i="1"/>
  <c r="J215" i="1"/>
  <c r="S42" i="1"/>
  <c r="J28" i="1"/>
  <c r="K28" i="1"/>
  <c r="H28" i="1"/>
  <c r="I15" i="4"/>
  <c r="I21" i="4"/>
  <c r="I17" i="4"/>
  <c r="I13" i="4"/>
  <c r="I19" i="4"/>
  <c r="U17" i="4"/>
  <c r="U19" i="4"/>
  <c r="U13" i="4"/>
  <c r="U21" i="4"/>
  <c r="U15" i="4"/>
  <c r="I28" i="1"/>
  <c r="L21" i="4"/>
  <c r="L19" i="4"/>
  <c r="L15" i="4"/>
  <c r="L13" i="4"/>
  <c r="L17" i="4"/>
  <c r="O13" i="4"/>
  <c r="O21" i="4"/>
  <c r="O19" i="4"/>
  <c r="O15" i="4"/>
  <c r="O17" i="4"/>
  <c r="F15" i="4"/>
  <c r="G15" i="4" s="1"/>
  <c r="F13" i="4"/>
  <c r="G13" i="4" s="1"/>
  <c r="F17" i="4"/>
  <c r="G17" i="4" s="1"/>
  <c r="F21" i="4"/>
  <c r="G21" i="4" s="1"/>
  <c r="F19" i="4"/>
  <c r="G19" i="4" s="1"/>
  <c r="I214" i="1"/>
  <c r="I216" i="1" s="1"/>
  <c r="I106" i="1"/>
  <c r="K4" i="1"/>
  <c r="L4" i="1" s="1"/>
  <c r="M4" i="1" s="1"/>
  <c r="O10" i="4"/>
  <c r="K211" i="1"/>
  <c r="J211" i="1"/>
  <c r="G216" i="1"/>
  <c r="I218" i="1"/>
  <c r="I220" i="1" s="1"/>
  <c r="L28" i="1"/>
  <c r="L19" i="1"/>
  <c r="N19" i="1" s="1"/>
  <c r="P19" i="1" s="1"/>
  <c r="R19" i="1" s="1"/>
  <c r="T19" i="1" s="1"/>
  <c r="V19" i="1" s="1"/>
  <c r="X19" i="1" s="1"/>
  <c r="Z19" i="1" s="1"/>
  <c r="AB19" i="1" s="1"/>
  <c r="AD19" i="1" s="1"/>
  <c r="AF19" i="1" s="1"/>
  <c r="K19" i="1"/>
  <c r="M19" i="1" s="1"/>
  <c r="O19" i="1" s="1"/>
  <c r="Q19" i="1" s="1"/>
  <c r="S19" i="1" s="1"/>
  <c r="U19" i="1" s="1"/>
  <c r="W19" i="1" s="1"/>
  <c r="Y19" i="1" s="1"/>
  <c r="AA19" i="1" s="1"/>
  <c r="AC19" i="1" s="1"/>
  <c r="AE19" i="1" s="1"/>
  <c r="AG19" i="1" s="1"/>
  <c r="AH19" i="1" s="1"/>
  <c r="I115" i="1"/>
  <c r="J103" i="1"/>
  <c r="H25" i="1"/>
  <c r="H26" i="1" s="1"/>
  <c r="H33" i="1"/>
  <c r="H45" i="1" s="1"/>
  <c r="G107" i="1"/>
  <c r="G37" i="1"/>
  <c r="G109" i="1" s="1"/>
  <c r="K112" i="1"/>
  <c r="L40" i="1"/>
  <c r="H50" i="1"/>
  <c r="H72" i="1" s="1"/>
  <c r="J75" i="1"/>
  <c r="K8" i="1"/>
  <c r="L8" i="1" s="1"/>
  <c r="M8" i="1" s="1"/>
  <c r="J34" i="1"/>
  <c r="J214" i="1" s="1"/>
  <c r="J76" i="1"/>
  <c r="J108" i="1" s="1"/>
  <c r="H220" i="1"/>
  <c r="H106" i="1"/>
  <c r="J112" i="1"/>
  <c r="S23" i="1" l="1"/>
  <c r="R54" i="1"/>
  <c r="F150" i="1"/>
  <c r="F79" i="1"/>
  <c r="L221" i="1"/>
  <c r="L114" i="1"/>
  <c r="N114" i="1"/>
  <c r="N221" i="1"/>
  <c r="U150" i="1"/>
  <c r="U53" i="1"/>
  <c r="U114" i="1" s="1"/>
  <c r="O114" i="1"/>
  <c r="O221" i="1"/>
  <c r="M114" i="1"/>
  <c r="M221" i="1"/>
  <c r="G150" i="1"/>
  <c r="G79" i="1"/>
  <c r="K114" i="1"/>
  <c r="K221" i="1"/>
  <c r="P221" i="1"/>
  <c r="W156" i="1"/>
  <c r="V177" i="1"/>
  <c r="H179" i="1"/>
  <c r="H207" i="1" s="1"/>
  <c r="I120" i="1"/>
  <c r="H149" i="1"/>
  <c r="Q221" i="1"/>
  <c r="Q113" i="1"/>
  <c r="R80" i="1"/>
  <c r="M35" i="1"/>
  <c r="O6" i="1"/>
  <c r="N8" i="1"/>
  <c r="M75" i="1"/>
  <c r="O44" i="1"/>
  <c r="P20" i="1"/>
  <c r="L215" i="1"/>
  <c r="M40" i="1"/>
  <c r="N4" i="1"/>
  <c r="M34" i="1"/>
  <c r="M76" i="1"/>
  <c r="M108" i="1" s="1"/>
  <c r="R6" i="1"/>
  <c r="P35" i="1"/>
  <c r="L75" i="1"/>
  <c r="T42" i="1"/>
  <c r="K34" i="1"/>
  <c r="K214" i="1" s="1"/>
  <c r="K216" i="1" s="1"/>
  <c r="P13" i="4"/>
  <c r="F26" i="4"/>
  <c r="G28" i="4"/>
  <c r="O20" i="4"/>
  <c r="R20" i="4"/>
  <c r="P19" i="4"/>
  <c r="U14" i="4"/>
  <c r="X14" i="4"/>
  <c r="M15" i="4"/>
  <c r="L16" i="4"/>
  <c r="J17" i="4"/>
  <c r="I18" i="4"/>
  <c r="F24" i="4"/>
  <c r="P17" i="4"/>
  <c r="R18" i="4"/>
  <c r="O18" i="4"/>
  <c r="O14" i="4"/>
  <c r="R14" i="4"/>
  <c r="M19" i="4"/>
  <c r="L20" i="4"/>
  <c r="V15" i="4"/>
  <c r="X16" i="4"/>
  <c r="U16" i="4"/>
  <c r="V17" i="4"/>
  <c r="X18" i="4"/>
  <c r="U18" i="4"/>
  <c r="I22" i="4"/>
  <c r="J21" i="4"/>
  <c r="M13" i="4"/>
  <c r="L14" i="4"/>
  <c r="J13" i="4"/>
  <c r="I14" i="4"/>
  <c r="P21" i="4"/>
  <c r="O22" i="4"/>
  <c r="R22" i="4"/>
  <c r="V19" i="4"/>
  <c r="X20" i="4"/>
  <c r="U20" i="4"/>
  <c r="H13" i="4"/>
  <c r="P15" i="4"/>
  <c r="R16" i="4"/>
  <c r="O16" i="4"/>
  <c r="M17" i="4"/>
  <c r="L18" i="4"/>
  <c r="L22" i="4"/>
  <c r="M21" i="4"/>
  <c r="V21" i="4"/>
  <c r="X22" i="4"/>
  <c r="U22" i="4"/>
  <c r="J19" i="4"/>
  <c r="I20" i="4"/>
  <c r="I16" i="4"/>
  <c r="J15" i="4"/>
  <c r="U10" i="4"/>
  <c r="R10" i="4"/>
  <c r="R24" i="4" s="1"/>
  <c r="L211" i="1"/>
  <c r="O26" i="4"/>
  <c r="J218" i="1"/>
  <c r="J220" i="1" s="1"/>
  <c r="G33" i="1"/>
  <c r="G45" i="1" s="1"/>
  <c r="G47" i="1" s="1"/>
  <c r="H32" i="1" s="1"/>
  <c r="H47" i="1" s="1"/>
  <c r="J216" i="1"/>
  <c r="K75" i="1"/>
  <c r="L112" i="1"/>
  <c r="J115" i="1"/>
  <c r="K103" i="1"/>
  <c r="J106" i="1"/>
  <c r="I50" i="1"/>
  <c r="I72" i="1" s="1"/>
  <c r="J50" i="1" s="1"/>
  <c r="G210" i="1"/>
  <c r="G212" i="1" s="1"/>
  <c r="K76" i="1"/>
  <c r="K108" i="1" s="1"/>
  <c r="J15" i="1"/>
  <c r="I25" i="1"/>
  <c r="L34" i="1"/>
  <c r="L214" i="1" s="1"/>
  <c r="L76" i="1"/>
  <c r="L108" i="1" s="1"/>
  <c r="M214" i="1" l="1"/>
  <c r="T23" i="1"/>
  <c r="S54" i="1"/>
  <c r="H150" i="1"/>
  <c r="H79" i="1"/>
  <c r="G114" i="1"/>
  <c r="G221" i="1"/>
  <c r="G222" i="1" s="1"/>
  <c r="G224" i="1" s="1"/>
  <c r="V150" i="1"/>
  <c r="V53" i="1"/>
  <c r="V114" i="1" s="1"/>
  <c r="F221" i="1"/>
  <c r="F222" i="1" s="1"/>
  <c r="F224" i="1" s="1"/>
  <c r="F225" i="1" s="1"/>
  <c r="F101" i="1"/>
  <c r="F114" i="1"/>
  <c r="F116" i="1" s="1"/>
  <c r="G105" i="1" s="1"/>
  <c r="X156" i="1"/>
  <c r="W177" i="1"/>
  <c r="I179" i="1"/>
  <c r="I207" i="1" s="1"/>
  <c r="J120" i="1"/>
  <c r="I149" i="1"/>
  <c r="R113" i="1"/>
  <c r="R221" i="1"/>
  <c r="S80" i="1"/>
  <c r="P28" i="4"/>
  <c r="P29" i="4" s="1"/>
  <c r="I32" i="1"/>
  <c r="T6" i="1"/>
  <c r="R35" i="1"/>
  <c r="N40" i="1"/>
  <c r="M215" i="1"/>
  <c r="M211" i="1"/>
  <c r="M112" i="1"/>
  <c r="M106" i="1"/>
  <c r="M218" i="1"/>
  <c r="M220" i="1" s="1"/>
  <c r="M222" i="1" s="1"/>
  <c r="O8" i="1"/>
  <c r="N75" i="1"/>
  <c r="Q20" i="1"/>
  <c r="P44" i="1"/>
  <c r="Q6" i="1"/>
  <c r="O35" i="1"/>
  <c r="O4" i="1"/>
  <c r="N76" i="1"/>
  <c r="N108" i="1" s="1"/>
  <c r="N34" i="1"/>
  <c r="M149" i="1"/>
  <c r="U42" i="1"/>
  <c r="O24" i="4"/>
  <c r="U24" i="4"/>
  <c r="U25" i="4" s="1"/>
  <c r="I24" i="4"/>
  <c r="I25" i="4" s="1"/>
  <c r="L24" i="4"/>
  <c r="I26" i="4"/>
  <c r="I27" i="4" s="1"/>
  <c r="J28" i="4"/>
  <c r="K21" i="4" s="1"/>
  <c r="H19" i="4"/>
  <c r="H17" i="4"/>
  <c r="H21" i="4"/>
  <c r="G29" i="4"/>
  <c r="L26" i="4"/>
  <c r="M28" i="4"/>
  <c r="H15" i="4"/>
  <c r="X10" i="4"/>
  <c r="Y13" i="4" s="1"/>
  <c r="X26" i="4" s="1"/>
  <c r="S13" i="4"/>
  <c r="R26" i="4" s="1"/>
  <c r="V13" i="4"/>
  <c r="U26" i="4" s="1"/>
  <c r="K218" i="1"/>
  <c r="K220" i="1" s="1"/>
  <c r="K222" i="1" s="1"/>
  <c r="L218" i="1"/>
  <c r="L220" i="1" s="1"/>
  <c r="L222" i="1" s="1"/>
  <c r="K106" i="1"/>
  <c r="I26" i="1"/>
  <c r="J72" i="1"/>
  <c r="I107" i="1"/>
  <c r="I37" i="1"/>
  <c r="I33" i="1" s="1"/>
  <c r="I45" i="1" s="1"/>
  <c r="L149" i="1"/>
  <c r="L216" i="1"/>
  <c r="L106" i="1"/>
  <c r="K15" i="1"/>
  <c r="L15" i="1" s="1"/>
  <c r="M15" i="1" s="1"/>
  <c r="J36" i="1"/>
  <c r="J25" i="1"/>
  <c r="J26" i="1" s="1"/>
  <c r="K115" i="1"/>
  <c r="L103" i="1"/>
  <c r="M103" i="1" s="1"/>
  <c r="U23" i="1" l="1"/>
  <c r="T54" i="1"/>
  <c r="G225" i="1"/>
  <c r="W150" i="1"/>
  <c r="W53" i="1"/>
  <c r="W114" i="1" s="1"/>
  <c r="G116" i="1"/>
  <c r="H105" i="1" s="1"/>
  <c r="H114" i="1"/>
  <c r="H221" i="1"/>
  <c r="H222" i="1" s="1"/>
  <c r="H224" i="1" s="1"/>
  <c r="I150" i="1"/>
  <c r="I79" i="1"/>
  <c r="G74" i="1"/>
  <c r="G101" i="1" s="1"/>
  <c r="F102" i="1"/>
  <c r="F117" i="1" s="1"/>
  <c r="Y156" i="1"/>
  <c r="X177" i="1"/>
  <c r="J179" i="1"/>
  <c r="J207" i="1" s="1"/>
  <c r="K120" i="1"/>
  <c r="K149" i="1" s="1"/>
  <c r="J149" i="1"/>
  <c r="Q21" i="4"/>
  <c r="Q19" i="4"/>
  <c r="Q13" i="4"/>
  <c r="L25" i="4"/>
  <c r="S113" i="1"/>
  <c r="S221" i="1"/>
  <c r="T80" i="1"/>
  <c r="Q15" i="4"/>
  <c r="Q17" i="4"/>
  <c r="S6" i="1"/>
  <c r="Q35" i="1"/>
  <c r="M115" i="1"/>
  <c r="N103" i="1"/>
  <c r="N15" i="1"/>
  <c r="M36" i="1"/>
  <c r="M25" i="1"/>
  <c r="P4" i="1"/>
  <c r="O34" i="1"/>
  <c r="O76" i="1"/>
  <c r="O108" i="1" s="1"/>
  <c r="M216" i="1"/>
  <c r="O40" i="1"/>
  <c r="N215" i="1"/>
  <c r="N211" i="1"/>
  <c r="N112" i="1"/>
  <c r="R20" i="1"/>
  <c r="Q44" i="1"/>
  <c r="N218" i="1"/>
  <c r="N220" i="1" s="1"/>
  <c r="N222" i="1" s="1"/>
  <c r="N106" i="1"/>
  <c r="N214" i="1"/>
  <c r="P8" i="1"/>
  <c r="O75" i="1"/>
  <c r="V6" i="1"/>
  <c r="T35" i="1"/>
  <c r="N149" i="1"/>
  <c r="V42" i="1"/>
  <c r="L27" i="4"/>
  <c r="H28" i="4"/>
  <c r="O25" i="4"/>
  <c r="J29" i="4"/>
  <c r="J30" i="4" s="1"/>
  <c r="K15" i="4"/>
  <c r="K13" i="4"/>
  <c r="K17" i="4"/>
  <c r="K19" i="4"/>
  <c r="O27" i="4"/>
  <c r="M29" i="4"/>
  <c r="N15" i="4"/>
  <c r="N21" i="4"/>
  <c r="N17" i="4"/>
  <c r="N19" i="4"/>
  <c r="N13" i="4"/>
  <c r="X24" i="4"/>
  <c r="R25" i="4"/>
  <c r="V28" i="4"/>
  <c r="W19" i="4" s="1"/>
  <c r="Y28" i="4"/>
  <c r="X27" i="4"/>
  <c r="S28" i="4"/>
  <c r="T13" i="4" s="1"/>
  <c r="R27" i="4"/>
  <c r="J107" i="1"/>
  <c r="J37" i="1"/>
  <c r="J109" i="1" s="1"/>
  <c r="K36" i="1"/>
  <c r="K25" i="1"/>
  <c r="K26" i="1" s="1"/>
  <c r="I109" i="1"/>
  <c r="K50" i="1"/>
  <c r="K72" i="1" s="1"/>
  <c r="L115" i="1"/>
  <c r="T221" i="1" l="1"/>
  <c r="V23" i="1"/>
  <c r="U54" i="1"/>
  <c r="H225" i="1"/>
  <c r="H116" i="1"/>
  <c r="I105" i="1" s="1"/>
  <c r="X150" i="1"/>
  <c r="X53" i="1"/>
  <c r="X114" i="1" s="1"/>
  <c r="I114" i="1"/>
  <c r="I221" i="1"/>
  <c r="I222" i="1" s="1"/>
  <c r="J150" i="1"/>
  <c r="J79" i="1"/>
  <c r="H74" i="1"/>
  <c r="H101" i="1" s="1"/>
  <c r="G102" i="1"/>
  <c r="G117" i="1" s="1"/>
  <c r="Z156" i="1"/>
  <c r="Y177" i="1"/>
  <c r="Q28" i="4"/>
  <c r="T113" i="1"/>
  <c r="U80" i="1"/>
  <c r="Q8" i="1"/>
  <c r="P75" i="1"/>
  <c r="M107" i="1"/>
  <c r="M37" i="1"/>
  <c r="M109" i="1" s="1"/>
  <c r="X6" i="1"/>
  <c r="V35" i="1"/>
  <c r="O214" i="1"/>
  <c r="O15" i="1"/>
  <c r="N25" i="1"/>
  <c r="N26" i="1" s="1"/>
  <c r="N36" i="1"/>
  <c r="O218" i="1"/>
  <c r="O220" i="1" s="1"/>
  <c r="O222" i="1" s="1"/>
  <c r="O106" i="1"/>
  <c r="N216" i="1"/>
  <c r="S20" i="1"/>
  <c r="R44" i="1"/>
  <c r="O215" i="1"/>
  <c r="P40" i="1"/>
  <c r="O112" i="1"/>
  <c r="O211" i="1"/>
  <c r="Q4" i="1"/>
  <c r="P76" i="1"/>
  <c r="P108" i="1" s="1"/>
  <c r="P34" i="1"/>
  <c r="O103" i="1"/>
  <c r="N115" i="1"/>
  <c r="U6" i="1"/>
  <c r="S35" i="1"/>
  <c r="O149" i="1"/>
  <c r="W42" i="1"/>
  <c r="K28" i="4"/>
  <c r="M30" i="4"/>
  <c r="P30" i="4"/>
  <c r="N28" i="4"/>
  <c r="V29" i="4"/>
  <c r="W17" i="4"/>
  <c r="Y29" i="4"/>
  <c r="Z17" i="4"/>
  <c r="Z19" i="4"/>
  <c r="Z21" i="4"/>
  <c r="Z13" i="4"/>
  <c r="Z15" i="4"/>
  <c r="W13" i="4"/>
  <c r="W15" i="4"/>
  <c r="T15" i="4"/>
  <c r="S29" i="4"/>
  <c r="S30" i="4" s="1"/>
  <c r="T21" i="4"/>
  <c r="T17" i="4"/>
  <c r="T19" i="4"/>
  <c r="W21" i="4"/>
  <c r="U27" i="4"/>
  <c r="I47" i="1"/>
  <c r="K107" i="1"/>
  <c r="K37" i="1"/>
  <c r="K109" i="1" s="1"/>
  <c r="J210" i="1"/>
  <c r="J212" i="1" s="1"/>
  <c r="I210" i="1"/>
  <c r="I212" i="1" s="1"/>
  <c r="L50" i="1"/>
  <c r="L72" i="1" s="1"/>
  <c r="M50" i="1" s="1"/>
  <c r="M72" i="1" s="1"/>
  <c r="N50" i="1" s="1"/>
  <c r="N72" i="1" s="1"/>
  <c r="O50" i="1" s="1"/>
  <c r="O72" i="1" s="1"/>
  <c r="P50" i="1" s="1"/>
  <c r="P72" i="1" s="1"/>
  <c r="Q50" i="1" s="1"/>
  <c r="Q72" i="1" s="1"/>
  <c r="R50" i="1" s="1"/>
  <c r="R72" i="1" s="1"/>
  <c r="S50" i="1" s="1"/>
  <c r="S72" i="1" s="1"/>
  <c r="T50" i="1" s="1"/>
  <c r="T72" i="1" s="1"/>
  <c r="U50" i="1" s="1"/>
  <c r="L36" i="1"/>
  <c r="L25" i="1"/>
  <c r="L26" i="1" s="1"/>
  <c r="J33" i="1"/>
  <c r="J45" i="1" s="1"/>
  <c r="V54" i="1" l="1"/>
  <c r="W23" i="1"/>
  <c r="I116" i="1"/>
  <c r="J105" i="1" s="1"/>
  <c r="Y150" i="1"/>
  <c r="Y53" i="1"/>
  <c r="Y114" i="1" s="1"/>
  <c r="J114" i="1"/>
  <c r="J221" i="1"/>
  <c r="J222" i="1" s="1"/>
  <c r="J224" i="1" s="1"/>
  <c r="I74" i="1"/>
  <c r="I101" i="1" s="1"/>
  <c r="H102" i="1"/>
  <c r="AA156" i="1"/>
  <c r="Z177" i="1"/>
  <c r="U221" i="1"/>
  <c r="V80" i="1"/>
  <c r="V113" i="1" s="1"/>
  <c r="U72" i="1"/>
  <c r="V50" i="1" s="1"/>
  <c r="U113" i="1"/>
  <c r="M210" i="1"/>
  <c r="M212" i="1" s="1"/>
  <c r="M224" i="1" s="1"/>
  <c r="M26" i="1"/>
  <c r="P103" i="1"/>
  <c r="O115" i="1"/>
  <c r="Z6" i="1"/>
  <c r="X35" i="1"/>
  <c r="P214" i="1"/>
  <c r="T20" i="1"/>
  <c r="S44" i="1"/>
  <c r="N107" i="1"/>
  <c r="N37" i="1"/>
  <c r="N109" i="1" s="1"/>
  <c r="P218" i="1"/>
  <c r="P220" i="1" s="1"/>
  <c r="P222" i="1" s="1"/>
  <c r="P106" i="1"/>
  <c r="W6" i="1"/>
  <c r="U35" i="1"/>
  <c r="Q40" i="1"/>
  <c r="P215" i="1"/>
  <c r="P211" i="1"/>
  <c r="P112" i="1"/>
  <c r="M33" i="1"/>
  <c r="M45" i="1" s="1"/>
  <c r="R8" i="1"/>
  <c r="Q75" i="1"/>
  <c r="R4" i="1"/>
  <c r="Q34" i="1"/>
  <c r="Q76" i="1"/>
  <c r="Q108" i="1" s="1"/>
  <c r="O216" i="1"/>
  <c r="P15" i="1"/>
  <c r="O25" i="1"/>
  <c r="O26" i="1" s="1"/>
  <c r="O36" i="1"/>
  <c r="P149" i="1"/>
  <c r="X42" i="1"/>
  <c r="Y30" i="4"/>
  <c r="W28" i="4"/>
  <c r="V30" i="4"/>
  <c r="T28" i="4"/>
  <c r="X25" i="4"/>
  <c r="Z28" i="4"/>
  <c r="L107" i="1"/>
  <c r="L37" i="1"/>
  <c r="L109" i="1" s="1"/>
  <c r="K33" i="1"/>
  <c r="K45" i="1" s="1"/>
  <c r="I224" i="1"/>
  <c r="I225" i="1" s="1"/>
  <c r="K210" i="1"/>
  <c r="K212" i="1" s="1"/>
  <c r="K224" i="1" s="1"/>
  <c r="J32" i="1"/>
  <c r="J47" i="1" s="1"/>
  <c r="V72" i="1" l="1"/>
  <c r="W50" i="1" s="1"/>
  <c r="X23" i="1"/>
  <c r="W54" i="1"/>
  <c r="J116" i="1"/>
  <c r="K105" i="1" s="1"/>
  <c r="K116" i="1" s="1"/>
  <c r="L105" i="1" s="1"/>
  <c r="L116" i="1" s="1"/>
  <c r="J225" i="1"/>
  <c r="K225" i="1" s="1"/>
  <c r="Z150" i="1"/>
  <c r="Z53" i="1"/>
  <c r="Z114" i="1" s="1"/>
  <c r="J74" i="1"/>
  <c r="J101" i="1" s="1"/>
  <c r="I102" i="1"/>
  <c r="H117" i="1"/>
  <c r="H104" i="1"/>
  <c r="AB156" i="1"/>
  <c r="AA177" i="1"/>
  <c r="V221" i="1"/>
  <c r="W80" i="1"/>
  <c r="N33" i="1"/>
  <c r="N45" i="1" s="1"/>
  <c r="P216" i="1"/>
  <c r="S4" i="1"/>
  <c r="R34" i="1"/>
  <c r="R76" i="1"/>
  <c r="R108" i="1" s="1"/>
  <c r="U20" i="1"/>
  <c r="T44" i="1"/>
  <c r="Q106" i="1"/>
  <c r="Q218" i="1"/>
  <c r="Q220" i="1" s="1"/>
  <c r="Q222" i="1" s="1"/>
  <c r="Y6" i="1"/>
  <c r="W35" i="1"/>
  <c r="AB6" i="1"/>
  <c r="Z35" i="1"/>
  <c r="Q15" i="1"/>
  <c r="P36" i="1"/>
  <c r="P25" i="1"/>
  <c r="P26" i="1" s="1"/>
  <c r="O107" i="1"/>
  <c r="O37" i="1"/>
  <c r="O109" i="1" s="1"/>
  <c r="S8" i="1"/>
  <c r="R75" i="1"/>
  <c r="N210" i="1"/>
  <c r="N212" i="1" s="1"/>
  <c r="N224" i="1" s="1"/>
  <c r="Q214" i="1"/>
  <c r="R40" i="1"/>
  <c r="Q215" i="1"/>
  <c r="Q112" i="1"/>
  <c r="Q211" i="1"/>
  <c r="P115" i="1"/>
  <c r="Q103" i="1"/>
  <c r="Q149" i="1"/>
  <c r="Y42" i="1"/>
  <c r="K32" i="1"/>
  <c r="K47" i="1" s="1"/>
  <c r="L33" i="1"/>
  <c r="L45" i="1" s="1"/>
  <c r="L210" i="1"/>
  <c r="L212" i="1" s="1"/>
  <c r="L224" i="1" s="1"/>
  <c r="X54" i="1" l="1"/>
  <c r="Y23" i="1"/>
  <c r="K74" i="1"/>
  <c r="K101" i="1" s="1"/>
  <c r="J102" i="1"/>
  <c r="AA150" i="1"/>
  <c r="AA53" i="1"/>
  <c r="AA114" i="1" s="1"/>
  <c r="I104" i="1"/>
  <c r="I117" i="1"/>
  <c r="AC156" i="1"/>
  <c r="AB177" i="1"/>
  <c r="W221" i="1"/>
  <c r="X80" i="1"/>
  <c r="W113" i="1"/>
  <c r="W72" i="1"/>
  <c r="X50" i="1" s="1"/>
  <c r="L225" i="1"/>
  <c r="M225" i="1" s="1"/>
  <c r="N225" i="1" s="1"/>
  <c r="Q216" i="1"/>
  <c r="L32" i="1"/>
  <c r="L47" i="1" s="1"/>
  <c r="S40" i="1"/>
  <c r="R215" i="1"/>
  <c r="R112" i="1"/>
  <c r="R211" i="1"/>
  <c r="R15" i="1"/>
  <c r="Q36" i="1"/>
  <c r="Q25" i="1"/>
  <c r="Q26" i="1" s="1"/>
  <c r="V20" i="1"/>
  <c r="U44" i="1"/>
  <c r="R106" i="1"/>
  <c r="R218" i="1"/>
  <c r="R220" i="1" s="1"/>
  <c r="R222" i="1" s="1"/>
  <c r="O210" i="1"/>
  <c r="O212" i="1" s="1"/>
  <c r="O224" i="1" s="1"/>
  <c r="T8" i="1"/>
  <c r="S75" i="1"/>
  <c r="AD6" i="1"/>
  <c r="AB35" i="1"/>
  <c r="R214" i="1"/>
  <c r="AA6" i="1"/>
  <c r="Y35" i="1"/>
  <c r="R103" i="1"/>
  <c r="Q115" i="1"/>
  <c r="O33" i="1"/>
  <c r="O45" i="1" s="1"/>
  <c r="P107" i="1"/>
  <c r="P37" i="1"/>
  <c r="P109" i="1" s="1"/>
  <c r="T4" i="1"/>
  <c r="S34" i="1"/>
  <c r="S76" i="1"/>
  <c r="S108" i="1" s="1"/>
  <c r="R149" i="1"/>
  <c r="M105" i="1"/>
  <c r="M116" i="1" s="1"/>
  <c r="N105" i="1" s="1"/>
  <c r="N116" i="1" s="1"/>
  <c r="O105" i="1" s="1"/>
  <c r="Z42" i="1"/>
  <c r="Y54" i="1" l="1"/>
  <c r="Z23" i="1"/>
  <c r="AB150" i="1"/>
  <c r="AB53" i="1"/>
  <c r="AB114" i="1" s="1"/>
  <c r="J117" i="1"/>
  <c r="J104" i="1"/>
  <c r="L74" i="1"/>
  <c r="L101" i="1" s="1"/>
  <c r="K102" i="1"/>
  <c r="AD156" i="1"/>
  <c r="AC177" i="1"/>
  <c r="X72" i="1"/>
  <c r="Y50" i="1" s="1"/>
  <c r="X113" i="1"/>
  <c r="X221" i="1"/>
  <c r="Y80" i="1"/>
  <c r="P33" i="1"/>
  <c r="P45" i="1" s="1"/>
  <c r="O225" i="1"/>
  <c r="M32" i="1"/>
  <c r="M47" i="1" s="1"/>
  <c r="O116" i="1"/>
  <c r="P105" i="1" s="1"/>
  <c r="P116" i="1" s="1"/>
  <c r="Q105" i="1" s="1"/>
  <c r="U4" i="1"/>
  <c r="T76" i="1"/>
  <c r="T108" i="1" s="1"/>
  <c r="T34" i="1"/>
  <c r="AF6" i="1"/>
  <c r="AF35" i="1" s="1"/>
  <c r="AD35" i="1"/>
  <c r="W20" i="1"/>
  <c r="V44" i="1"/>
  <c r="R115" i="1"/>
  <c r="S103" i="1"/>
  <c r="S218" i="1"/>
  <c r="S220" i="1" s="1"/>
  <c r="S222" i="1" s="1"/>
  <c r="S106" i="1"/>
  <c r="Q107" i="1"/>
  <c r="Q37" i="1"/>
  <c r="Q109" i="1" s="1"/>
  <c r="R216" i="1"/>
  <c r="AC6" i="1"/>
  <c r="AA35" i="1"/>
  <c r="S214" i="1"/>
  <c r="P210" i="1"/>
  <c r="P212" i="1" s="1"/>
  <c r="P224" i="1" s="1"/>
  <c r="U8" i="1"/>
  <c r="T75" i="1"/>
  <c r="S15" i="1"/>
  <c r="R25" i="1"/>
  <c r="R26" i="1" s="1"/>
  <c r="R36" i="1"/>
  <c r="S215" i="1"/>
  <c r="T40" i="1"/>
  <c r="T211" i="1" s="1"/>
  <c r="S112" i="1"/>
  <c r="S211" i="1"/>
  <c r="S149" i="1"/>
  <c r="AA42" i="1"/>
  <c r="Y72" i="1" l="1"/>
  <c r="Z50" i="1" s="1"/>
  <c r="AA23" i="1"/>
  <c r="Z54" i="1"/>
  <c r="AC150" i="1"/>
  <c r="AC53" i="1"/>
  <c r="AC114" i="1" s="1"/>
  <c r="K117" i="1"/>
  <c r="K104" i="1"/>
  <c r="M74" i="1"/>
  <c r="M101" i="1" s="1"/>
  <c r="L102" i="1"/>
  <c r="AE156" i="1"/>
  <c r="AE177" i="1" s="1"/>
  <c r="AD177" i="1"/>
  <c r="Y221" i="1"/>
  <c r="Z80" i="1"/>
  <c r="Y113" i="1"/>
  <c r="N32" i="1"/>
  <c r="N47" i="1" s="1"/>
  <c r="P225" i="1"/>
  <c r="S216" i="1"/>
  <c r="Q116" i="1"/>
  <c r="R105" i="1" s="1"/>
  <c r="Q33" i="1"/>
  <c r="Q45" i="1" s="1"/>
  <c r="R107" i="1"/>
  <c r="R37" i="1"/>
  <c r="R109" i="1" s="1"/>
  <c r="V8" i="1"/>
  <c r="U75" i="1"/>
  <c r="X20" i="1"/>
  <c r="W44" i="1"/>
  <c r="T214" i="1"/>
  <c r="T106" i="1"/>
  <c r="T218" i="1"/>
  <c r="T220" i="1" s="1"/>
  <c r="T222" i="1" s="1"/>
  <c r="T103" i="1"/>
  <c r="S115" i="1"/>
  <c r="U40" i="1"/>
  <c r="T215" i="1"/>
  <c r="T112" i="1"/>
  <c r="T15" i="1"/>
  <c r="S25" i="1"/>
  <c r="S26" i="1" s="1"/>
  <c r="S36" i="1"/>
  <c r="AE6" i="1"/>
  <c r="AC35" i="1"/>
  <c r="Q210" i="1"/>
  <c r="Q212" i="1" s="1"/>
  <c r="Q224" i="1" s="1"/>
  <c r="V4" i="1"/>
  <c r="U34" i="1"/>
  <c r="U76" i="1"/>
  <c r="U108" i="1" s="1"/>
  <c r="T149" i="1"/>
  <c r="AB42" i="1"/>
  <c r="Z221" i="1" l="1"/>
  <c r="AA54" i="1"/>
  <c r="AB23" i="1"/>
  <c r="L104" i="1"/>
  <c r="L117" i="1"/>
  <c r="N74" i="1"/>
  <c r="N101" i="1" s="1"/>
  <c r="M102" i="1"/>
  <c r="AE150" i="1"/>
  <c r="AE53" i="1"/>
  <c r="AE114" i="1" s="1"/>
  <c r="AD150" i="1"/>
  <c r="AD53" i="1"/>
  <c r="AD114" i="1" s="1"/>
  <c r="O32" i="1"/>
  <c r="O47" i="1" s="1"/>
  <c r="Z72" i="1"/>
  <c r="AA50" i="1" s="1"/>
  <c r="Z113" i="1"/>
  <c r="AA80" i="1"/>
  <c r="Q225" i="1"/>
  <c r="T216" i="1"/>
  <c r="R33" i="1"/>
  <c r="R45" i="1" s="1"/>
  <c r="U15" i="1"/>
  <c r="T36" i="1"/>
  <c r="T25" i="1"/>
  <c r="T26" i="1" s="1"/>
  <c r="U106" i="1"/>
  <c r="U214" i="1"/>
  <c r="AG6" i="1"/>
  <c r="AG35" i="1" s="1"/>
  <c r="AH35" i="1" s="1"/>
  <c r="AE35" i="1"/>
  <c r="X44" i="1"/>
  <c r="Y20" i="1"/>
  <c r="W4" i="1"/>
  <c r="V34" i="1"/>
  <c r="V76" i="1"/>
  <c r="V108" i="1" s="1"/>
  <c r="S107" i="1"/>
  <c r="S37" i="1"/>
  <c r="S109" i="1" s="1"/>
  <c r="T115" i="1"/>
  <c r="U103" i="1"/>
  <c r="U218" i="1"/>
  <c r="U220" i="1" s="1"/>
  <c r="U222" i="1" s="1"/>
  <c r="R210" i="1"/>
  <c r="R212" i="1" s="1"/>
  <c r="R224" i="1" s="1"/>
  <c r="V40" i="1"/>
  <c r="U215" i="1"/>
  <c r="U211" i="1"/>
  <c r="U112" i="1"/>
  <c r="W8" i="1"/>
  <c r="V75" i="1"/>
  <c r="R116" i="1"/>
  <c r="S105" i="1" s="1"/>
  <c r="U149" i="1"/>
  <c r="AC42" i="1"/>
  <c r="AB54" i="1" l="1"/>
  <c r="AC23" i="1"/>
  <c r="O74" i="1"/>
  <c r="O101" i="1" s="1"/>
  <c r="N102" i="1"/>
  <c r="M104" i="1"/>
  <c r="M117" i="1"/>
  <c r="P32" i="1"/>
  <c r="P47" i="1" s="1"/>
  <c r="R225" i="1"/>
  <c r="AA113" i="1"/>
  <c r="AB80" i="1"/>
  <c r="AA221" i="1"/>
  <c r="AA72" i="1"/>
  <c r="AB50" i="1" s="1"/>
  <c r="U216" i="1"/>
  <c r="S116" i="1"/>
  <c r="T105" i="1" s="1"/>
  <c r="S33" i="1"/>
  <c r="S45" i="1" s="1"/>
  <c r="S210" i="1"/>
  <c r="S212" i="1" s="1"/>
  <c r="S224" i="1" s="1"/>
  <c r="V106" i="1"/>
  <c r="V218" i="1"/>
  <c r="V220" i="1" s="1"/>
  <c r="V222" i="1" s="1"/>
  <c r="V103" i="1"/>
  <c r="U115" i="1"/>
  <c r="Z20" i="1"/>
  <c r="Y44" i="1"/>
  <c r="X8" i="1"/>
  <c r="W75" i="1"/>
  <c r="V215" i="1"/>
  <c r="W40" i="1"/>
  <c r="V211" i="1"/>
  <c r="V112" i="1"/>
  <c r="T107" i="1"/>
  <c r="T37" i="1"/>
  <c r="T109" i="1" s="1"/>
  <c r="X4" i="1"/>
  <c r="W34" i="1"/>
  <c r="W76" i="1"/>
  <c r="W108" i="1" s="1"/>
  <c r="V214" i="1"/>
  <c r="V15" i="1"/>
  <c r="U25" i="1"/>
  <c r="U26" i="1" s="1"/>
  <c r="U36" i="1"/>
  <c r="V149" i="1"/>
  <c r="AD42" i="1"/>
  <c r="AC54" i="1" l="1"/>
  <c r="AD23" i="1"/>
  <c r="N104" i="1"/>
  <c r="N117" i="1"/>
  <c r="P74" i="1"/>
  <c r="P101" i="1" s="1"/>
  <c r="O102" i="1"/>
  <c r="Q32" i="1"/>
  <c r="Q47" i="1" s="1"/>
  <c r="S225" i="1"/>
  <c r="AB113" i="1"/>
  <c r="AB72" i="1"/>
  <c r="AC50" i="1" s="1"/>
  <c r="AC80" i="1"/>
  <c r="AB221" i="1"/>
  <c r="T33" i="1"/>
  <c r="T45" i="1" s="1"/>
  <c r="W103" i="1"/>
  <c r="V115" i="1"/>
  <c r="W214" i="1"/>
  <c r="T210" i="1"/>
  <c r="T212" i="1" s="1"/>
  <c r="T224" i="1" s="1"/>
  <c r="V216" i="1"/>
  <c r="AA20" i="1"/>
  <c r="Z44" i="1"/>
  <c r="Y8" i="1"/>
  <c r="X75" i="1"/>
  <c r="W15" i="1"/>
  <c r="V36" i="1"/>
  <c r="V25" i="1"/>
  <c r="V26" i="1" s="1"/>
  <c r="W215" i="1"/>
  <c r="X40" i="1"/>
  <c r="W211" i="1"/>
  <c r="W112" i="1"/>
  <c r="U107" i="1"/>
  <c r="U37" i="1"/>
  <c r="U109" i="1" s="1"/>
  <c r="Y4" i="1"/>
  <c r="X34" i="1"/>
  <c r="X76" i="1"/>
  <c r="X108" i="1" s="1"/>
  <c r="W218" i="1"/>
  <c r="W220" i="1" s="1"/>
  <c r="W222" i="1" s="1"/>
  <c r="W106" i="1"/>
  <c r="T116" i="1"/>
  <c r="U105" i="1" s="1"/>
  <c r="W149" i="1"/>
  <c r="AE42" i="1"/>
  <c r="AD54" i="1" l="1"/>
  <c r="AE23" i="1"/>
  <c r="P102" i="1"/>
  <c r="Q74" i="1"/>
  <c r="Q101" i="1" s="1"/>
  <c r="O104" i="1"/>
  <c r="O117" i="1"/>
  <c r="R32" i="1"/>
  <c r="R47" i="1" s="1"/>
  <c r="T225" i="1"/>
  <c r="AC221" i="1"/>
  <c r="AC113" i="1"/>
  <c r="AD80" i="1"/>
  <c r="AC72" i="1"/>
  <c r="AD50" i="1" s="1"/>
  <c r="W216" i="1"/>
  <c r="X215" i="1"/>
  <c r="Y40" i="1"/>
  <c r="X112" i="1"/>
  <c r="X211" i="1"/>
  <c r="U116" i="1"/>
  <c r="V105" i="1" s="1"/>
  <c r="Z4" i="1"/>
  <c r="Y34" i="1"/>
  <c r="Y76" i="1"/>
  <c r="Y108" i="1" s="1"/>
  <c r="Z8" i="1"/>
  <c r="Y75" i="1"/>
  <c r="X15" i="1"/>
  <c r="W25" i="1"/>
  <c r="W26" i="1" s="1"/>
  <c r="W36" i="1"/>
  <c r="AA44" i="1"/>
  <c r="AB20" i="1"/>
  <c r="X214" i="1"/>
  <c r="U210" i="1"/>
  <c r="U212" i="1" s="1"/>
  <c r="U224" i="1" s="1"/>
  <c r="X106" i="1"/>
  <c r="X218" i="1"/>
  <c r="X220" i="1" s="1"/>
  <c r="X222" i="1" s="1"/>
  <c r="U33" i="1"/>
  <c r="U45" i="1" s="1"/>
  <c r="V107" i="1"/>
  <c r="V37" i="1"/>
  <c r="V109" i="1" s="1"/>
  <c r="X103" i="1"/>
  <c r="W115" i="1"/>
  <c r="X149" i="1"/>
  <c r="AF42" i="1"/>
  <c r="AE54" i="1" l="1"/>
  <c r="AF23" i="1"/>
  <c r="AG23" i="1" s="1"/>
  <c r="AH23" i="1" s="1"/>
  <c r="Q102" i="1"/>
  <c r="R74" i="1"/>
  <c r="R101" i="1" s="1"/>
  <c r="P117" i="1"/>
  <c r="P104" i="1"/>
  <c r="S32" i="1"/>
  <c r="S47" i="1" s="1"/>
  <c r="T32" i="1" s="1"/>
  <c r="T47" i="1" s="1"/>
  <c r="U225" i="1"/>
  <c r="AD221" i="1"/>
  <c r="AD113" i="1"/>
  <c r="AE80" i="1"/>
  <c r="AD72" i="1"/>
  <c r="AE50" i="1" s="1"/>
  <c r="AB44" i="1"/>
  <c r="AC20" i="1"/>
  <c r="Y214" i="1"/>
  <c r="X115" i="1"/>
  <c r="Y103" i="1"/>
  <c r="Y218" i="1"/>
  <c r="Y220" i="1" s="1"/>
  <c r="Y222" i="1" s="1"/>
  <c r="Y106" i="1"/>
  <c r="AA4" i="1"/>
  <c r="Z34" i="1"/>
  <c r="Z76" i="1"/>
  <c r="Z108" i="1" s="1"/>
  <c r="Y215" i="1"/>
  <c r="Z40" i="1"/>
  <c r="Y211" i="1"/>
  <c r="Y112" i="1"/>
  <c r="V210" i="1"/>
  <c r="V212" i="1" s="1"/>
  <c r="V224" i="1" s="1"/>
  <c r="Y15" i="1"/>
  <c r="X25" i="1"/>
  <c r="X26" i="1" s="1"/>
  <c r="X36" i="1"/>
  <c r="V33" i="1"/>
  <c r="V45" i="1" s="1"/>
  <c r="W107" i="1"/>
  <c r="W37" i="1"/>
  <c r="W109" i="1" s="1"/>
  <c r="AA8" i="1"/>
  <c r="Z75" i="1"/>
  <c r="V116" i="1"/>
  <c r="W105" i="1" s="1"/>
  <c r="X216" i="1"/>
  <c r="Y149" i="1"/>
  <c r="AG42" i="1"/>
  <c r="AH42" i="1" s="1"/>
  <c r="AG54" i="1" l="1"/>
  <c r="AF54" i="1"/>
  <c r="S74" i="1"/>
  <c r="S101" i="1" s="1"/>
  <c r="R102" i="1"/>
  <c r="Q104" i="1"/>
  <c r="Q117" i="1"/>
  <c r="V225" i="1"/>
  <c r="AE221" i="1"/>
  <c r="AE113" i="1"/>
  <c r="AF80" i="1"/>
  <c r="AE72" i="1"/>
  <c r="AF50" i="1" s="1"/>
  <c r="W210" i="1"/>
  <c r="W212" i="1" s="1"/>
  <c r="W224" i="1" s="1"/>
  <c r="W116" i="1"/>
  <c r="X105" i="1" s="1"/>
  <c r="W33" i="1"/>
  <c r="W45" i="1" s="1"/>
  <c r="Z103" i="1"/>
  <c r="Y115" i="1"/>
  <c r="AB4" i="1"/>
  <c r="AA34" i="1"/>
  <c r="AA76" i="1"/>
  <c r="AA108" i="1" s="1"/>
  <c r="X107" i="1"/>
  <c r="X37" i="1"/>
  <c r="X109" i="1" s="1"/>
  <c r="Z106" i="1"/>
  <c r="Z218" i="1"/>
  <c r="Z220" i="1" s="1"/>
  <c r="Z222" i="1" s="1"/>
  <c r="Z214" i="1"/>
  <c r="AB8" i="1"/>
  <c r="AA75" i="1"/>
  <c r="Z15" i="1"/>
  <c r="Y36" i="1"/>
  <c r="Y25" i="1"/>
  <c r="Y26" i="1" s="1"/>
  <c r="Z215" i="1"/>
  <c r="AA40" i="1"/>
  <c r="Z112" i="1"/>
  <c r="Z211" i="1"/>
  <c r="AD20" i="1"/>
  <c r="AC44" i="1"/>
  <c r="Y216" i="1"/>
  <c r="Z149" i="1"/>
  <c r="U32" i="1"/>
  <c r="U47" i="1" s="1"/>
  <c r="R117" i="1" l="1"/>
  <c r="R104" i="1"/>
  <c r="S102" i="1"/>
  <c r="T74" i="1"/>
  <c r="T101" i="1" s="1"/>
  <c r="W225" i="1"/>
  <c r="AF221" i="1"/>
  <c r="AF113" i="1"/>
  <c r="AG80" i="1"/>
  <c r="AG221" i="1" s="1"/>
  <c r="AF72" i="1"/>
  <c r="AG50" i="1" s="1"/>
  <c r="Z216" i="1"/>
  <c r="X116" i="1"/>
  <c r="Y105" i="1" s="1"/>
  <c r="AE20" i="1"/>
  <c r="AD44" i="1"/>
  <c r="AA106" i="1"/>
  <c r="AA218" i="1"/>
  <c r="AA220" i="1" s="1"/>
  <c r="AA222" i="1" s="1"/>
  <c r="AC4" i="1"/>
  <c r="AB76" i="1"/>
  <c r="AB108" i="1" s="1"/>
  <c r="AB34" i="1"/>
  <c r="Y107" i="1"/>
  <c r="Y37" i="1"/>
  <c r="Y109" i="1" s="1"/>
  <c r="AA214" i="1"/>
  <c r="AC8" i="1"/>
  <c r="AB75" i="1"/>
  <c r="X210" i="1"/>
  <c r="X212" i="1" s="1"/>
  <c r="X224" i="1" s="1"/>
  <c r="AA215" i="1"/>
  <c r="AB40" i="1"/>
  <c r="AA112" i="1"/>
  <c r="AA211" i="1"/>
  <c r="AA15" i="1"/>
  <c r="Z25" i="1"/>
  <c r="Z26" i="1" s="1"/>
  <c r="Z36" i="1"/>
  <c r="X33" i="1"/>
  <c r="X45" i="1" s="1"/>
  <c r="Z115" i="1"/>
  <c r="AA103" i="1"/>
  <c r="AA149" i="1"/>
  <c r="V32" i="1"/>
  <c r="V47" i="1" s="1"/>
  <c r="S117" i="1" l="1"/>
  <c r="S104" i="1"/>
  <c r="U74" i="1"/>
  <c r="U101" i="1" s="1"/>
  <c r="T102" i="1"/>
  <c r="X225" i="1"/>
  <c r="AG72" i="1"/>
  <c r="AG113" i="1"/>
  <c r="AA216" i="1"/>
  <c r="AD8" i="1"/>
  <c r="AC75" i="1"/>
  <c r="AD4" i="1"/>
  <c r="AC76" i="1"/>
  <c r="AC108" i="1" s="1"/>
  <c r="AC34" i="1"/>
  <c r="Y210" i="1"/>
  <c r="Y212" i="1" s="1"/>
  <c r="Y224" i="1" s="1"/>
  <c r="AE44" i="1"/>
  <c r="AF20" i="1"/>
  <c r="AG20" i="1" s="1"/>
  <c r="AH20" i="1" s="1"/>
  <c r="AB103" i="1"/>
  <c r="AA115" i="1"/>
  <c r="AB215" i="1"/>
  <c r="AC40" i="1"/>
  <c r="AB211" i="1"/>
  <c r="AB112" i="1"/>
  <c r="AB15" i="1"/>
  <c r="AA36" i="1"/>
  <c r="AA25" i="1"/>
  <c r="AA26" i="1" s="1"/>
  <c r="Y33" i="1"/>
  <c r="Y45" i="1" s="1"/>
  <c r="Z107" i="1"/>
  <c r="Z37" i="1"/>
  <c r="Z109" i="1" s="1"/>
  <c r="AB106" i="1"/>
  <c r="AB218" i="1"/>
  <c r="AB220" i="1" s="1"/>
  <c r="AB222" i="1" s="1"/>
  <c r="AB214" i="1"/>
  <c r="Y116" i="1"/>
  <c r="Z105" i="1" s="1"/>
  <c r="AB149" i="1"/>
  <c r="W32" i="1"/>
  <c r="W47" i="1" s="1"/>
  <c r="Y225" i="1" l="1"/>
  <c r="V74" i="1"/>
  <c r="V101" i="1" s="1"/>
  <c r="U102" i="1"/>
  <c r="T117" i="1"/>
  <c r="T104" i="1"/>
  <c r="AA107" i="1"/>
  <c r="AA37" i="1"/>
  <c r="AA109" i="1" s="1"/>
  <c r="AB216" i="1"/>
  <c r="AC106" i="1"/>
  <c r="AC218" i="1"/>
  <c r="AC220" i="1" s="1"/>
  <c r="AC222" i="1" s="1"/>
  <c r="AC215" i="1"/>
  <c r="AD40" i="1"/>
  <c r="AC211" i="1"/>
  <c r="AC112" i="1"/>
  <c r="AG44" i="1"/>
  <c r="AH44" i="1" s="1"/>
  <c r="AF44" i="1"/>
  <c r="Z116" i="1"/>
  <c r="AA105" i="1" s="1"/>
  <c r="Z210" i="1"/>
  <c r="Z212" i="1" s="1"/>
  <c r="Z224" i="1" s="1"/>
  <c r="AC15" i="1"/>
  <c r="AB36" i="1"/>
  <c r="AB25" i="1"/>
  <c r="AB26" i="1" s="1"/>
  <c r="AE4" i="1"/>
  <c r="AD76" i="1"/>
  <c r="AD108" i="1" s="1"/>
  <c r="AD34" i="1"/>
  <c r="Z33" i="1"/>
  <c r="Z45" i="1" s="1"/>
  <c r="AB115" i="1"/>
  <c r="AC103" i="1"/>
  <c r="AC214" i="1"/>
  <c r="AE8" i="1"/>
  <c r="AD75" i="1"/>
  <c r="AC149" i="1"/>
  <c r="X32" i="1"/>
  <c r="X47" i="1" s="1"/>
  <c r="Z225" i="1" l="1"/>
  <c r="U104" i="1"/>
  <c r="U117" i="1"/>
  <c r="W74" i="1"/>
  <c r="W101" i="1" s="1"/>
  <c r="V102" i="1"/>
  <c r="AD106" i="1"/>
  <c r="AD218" i="1"/>
  <c r="AD220" i="1" s="1"/>
  <c r="AD222" i="1" s="1"/>
  <c r="AB107" i="1"/>
  <c r="AB37" i="1"/>
  <c r="AB109" i="1" s="1"/>
  <c r="AD215" i="1"/>
  <c r="AE40" i="1"/>
  <c r="AD211" i="1"/>
  <c r="AD112" i="1"/>
  <c r="AF8" i="1"/>
  <c r="AE75" i="1"/>
  <c r="AD103" i="1"/>
  <c r="AC115" i="1"/>
  <c r="AC216" i="1"/>
  <c r="AF4" i="1"/>
  <c r="AE76" i="1"/>
  <c r="AE108" i="1" s="1"/>
  <c r="AE34" i="1"/>
  <c r="AA33" i="1"/>
  <c r="AA45" i="1" s="1"/>
  <c r="AD214" i="1"/>
  <c r="AD15" i="1"/>
  <c r="AC25" i="1"/>
  <c r="AC26" i="1" s="1"/>
  <c r="AC36" i="1"/>
  <c r="AA116" i="1"/>
  <c r="AB105" i="1" s="1"/>
  <c r="AA210" i="1"/>
  <c r="AA212" i="1" s="1"/>
  <c r="AA224" i="1" s="1"/>
  <c r="AD149" i="1"/>
  <c r="Y32" i="1"/>
  <c r="Y47" i="1" s="1"/>
  <c r="AA225" i="1" l="1"/>
  <c r="W102" i="1"/>
  <c r="X74" i="1"/>
  <c r="X101" i="1" s="1"/>
  <c r="V117" i="1"/>
  <c r="V104" i="1"/>
  <c r="AE218" i="1"/>
  <c r="AE220" i="1" s="1"/>
  <c r="AE222" i="1" s="1"/>
  <c r="AE106" i="1"/>
  <c r="AB210" i="1"/>
  <c r="AB212" i="1" s="1"/>
  <c r="AD216" i="1"/>
  <c r="AE103" i="1"/>
  <c r="AD115" i="1"/>
  <c r="AE15" i="1"/>
  <c r="AD36" i="1"/>
  <c r="AD25" i="1"/>
  <c r="AD26" i="1" s="1"/>
  <c r="AG4" i="1"/>
  <c r="AF76" i="1"/>
  <c r="AF108" i="1" s="1"/>
  <c r="AF34" i="1"/>
  <c r="AE215" i="1"/>
  <c r="AF40" i="1"/>
  <c r="AE112" i="1"/>
  <c r="AE211" i="1"/>
  <c r="AB116" i="1"/>
  <c r="AC105" i="1" s="1"/>
  <c r="AG8" i="1"/>
  <c r="AG75" i="1" s="1"/>
  <c r="AH75" i="1" s="1"/>
  <c r="AF75" i="1"/>
  <c r="AC107" i="1"/>
  <c r="AC37" i="1"/>
  <c r="AC109" i="1" s="1"/>
  <c r="AE214" i="1"/>
  <c r="AB33" i="1"/>
  <c r="AB45" i="1" s="1"/>
  <c r="AE149" i="1"/>
  <c r="Z32" i="1"/>
  <c r="Z47" i="1" s="1"/>
  <c r="Y74" i="1" l="1"/>
  <c r="Y101" i="1" s="1"/>
  <c r="X102" i="1"/>
  <c r="W104" i="1"/>
  <c r="W117" i="1"/>
  <c r="AC210" i="1"/>
  <c r="AC212" i="1" s="1"/>
  <c r="AC224" i="1" s="1"/>
  <c r="AF106" i="1"/>
  <c r="AF218" i="1"/>
  <c r="AF220" i="1" s="1"/>
  <c r="AF222" i="1" s="1"/>
  <c r="AF15" i="1"/>
  <c r="AG15" i="1" s="1"/>
  <c r="AH15" i="1" s="1"/>
  <c r="AE25" i="1"/>
  <c r="AE26" i="1" s="1"/>
  <c r="AE36" i="1"/>
  <c r="AB224" i="1"/>
  <c r="AB225" i="1" s="1"/>
  <c r="AF214" i="1"/>
  <c r="AD107" i="1"/>
  <c r="AD37" i="1"/>
  <c r="AD109" i="1" s="1"/>
  <c r="AC33" i="1"/>
  <c r="AC45" i="1" s="1"/>
  <c r="AF215" i="1"/>
  <c r="AG40" i="1"/>
  <c r="AH40" i="1" s="1"/>
  <c r="AF112" i="1"/>
  <c r="AF211" i="1"/>
  <c r="AG76" i="1"/>
  <c r="AG34" i="1"/>
  <c r="AC116" i="1"/>
  <c r="AD105" i="1" s="1"/>
  <c r="AE216" i="1"/>
  <c r="AF103" i="1"/>
  <c r="AE115" i="1"/>
  <c r="AF149" i="1"/>
  <c r="AG149" i="1"/>
  <c r="AA32" i="1"/>
  <c r="AA47" i="1" s="1"/>
  <c r="AG106" i="1" l="1"/>
  <c r="AH34" i="1"/>
  <c r="AG108" i="1"/>
  <c r="AH76" i="1"/>
  <c r="X104" i="1"/>
  <c r="X117" i="1"/>
  <c r="Z74" i="1"/>
  <c r="Z101" i="1" s="1"/>
  <c r="Y102" i="1"/>
  <c r="AC225" i="1"/>
  <c r="AG218" i="1"/>
  <c r="AG220" i="1" s="1"/>
  <c r="AG222" i="1" s="1"/>
  <c r="AD210" i="1"/>
  <c r="AD212" i="1" s="1"/>
  <c r="AF25" i="1"/>
  <c r="AF26" i="1" s="1"/>
  <c r="AF36" i="1"/>
  <c r="AD116" i="1"/>
  <c r="AE105" i="1" s="1"/>
  <c r="AG214" i="1"/>
  <c r="AG215" i="1"/>
  <c r="AG211" i="1"/>
  <c r="AG112" i="1"/>
  <c r="AF115" i="1"/>
  <c r="AG103" i="1"/>
  <c r="AG115" i="1" s="1"/>
  <c r="AF216" i="1"/>
  <c r="AD33" i="1"/>
  <c r="AD45" i="1" s="1"/>
  <c r="AE107" i="1"/>
  <c r="AE37" i="1"/>
  <c r="AE109" i="1" s="1"/>
  <c r="AB32" i="1"/>
  <c r="AB47" i="1" s="1"/>
  <c r="Y117" i="1" l="1"/>
  <c r="Y104" i="1"/>
  <c r="AA74" i="1"/>
  <c r="AA101" i="1" s="1"/>
  <c r="Z102" i="1"/>
  <c r="AG36" i="1"/>
  <c r="AH36" i="1" s="1"/>
  <c r="AG25" i="1"/>
  <c r="AE33" i="1"/>
  <c r="AE45" i="1" s="1"/>
  <c r="AG216" i="1"/>
  <c r="AE116" i="1"/>
  <c r="AF105" i="1" s="1"/>
  <c r="AD224" i="1"/>
  <c r="AD225" i="1" s="1"/>
  <c r="AE210" i="1"/>
  <c r="AE212" i="1" s="1"/>
  <c r="AE224" i="1" s="1"/>
  <c r="AF107" i="1"/>
  <c r="AF37" i="1"/>
  <c r="AF109" i="1" s="1"/>
  <c r="AC32" i="1"/>
  <c r="AC47" i="1" s="1"/>
  <c r="AG26" i="1" l="1"/>
  <c r="AH25" i="1"/>
  <c r="AA102" i="1"/>
  <c r="AB74" i="1"/>
  <c r="AB101" i="1" s="1"/>
  <c r="Z104" i="1"/>
  <c r="Z117" i="1"/>
  <c r="AF33" i="1"/>
  <c r="AF45" i="1" s="1"/>
  <c r="AE225" i="1"/>
  <c r="AF210" i="1"/>
  <c r="AF212" i="1" s="1"/>
  <c r="AF224" i="1" s="1"/>
  <c r="AF116" i="1"/>
  <c r="AG105" i="1" s="1"/>
  <c r="AG107" i="1"/>
  <c r="AG37" i="1"/>
  <c r="AD32" i="1"/>
  <c r="AD47" i="1" s="1"/>
  <c r="AG109" i="1" l="1"/>
  <c r="AG210" i="1" s="1"/>
  <c r="AG212" i="1" s="1"/>
  <c r="AG224" i="1" s="1"/>
  <c r="AH37" i="1"/>
  <c r="AB102" i="1"/>
  <c r="AC74" i="1"/>
  <c r="AC101" i="1" s="1"/>
  <c r="AA104" i="1"/>
  <c r="AA117" i="1"/>
  <c r="AF225" i="1"/>
  <c r="AG33" i="1"/>
  <c r="AE32" i="1"/>
  <c r="AE47" i="1" s="1"/>
  <c r="AG116" i="1" l="1"/>
  <c r="AG45" i="1"/>
  <c r="AH33" i="1"/>
  <c r="AD74" i="1"/>
  <c r="AD101" i="1" s="1"/>
  <c r="AC102" i="1"/>
  <c r="AB104" i="1"/>
  <c r="AB117" i="1"/>
  <c r="AG225" i="1"/>
  <c r="AF32" i="1"/>
  <c r="AF47" i="1" s="1"/>
  <c r="AC104" i="1" l="1"/>
  <c r="AC117" i="1"/>
  <c r="AE74" i="1"/>
  <c r="AE101" i="1" s="1"/>
  <c r="AD102" i="1"/>
  <c r="AG32" i="1"/>
  <c r="AG47" i="1" s="1"/>
  <c r="AF74" i="1" l="1"/>
  <c r="AF101" i="1" s="1"/>
  <c r="AE102" i="1"/>
  <c r="AD104" i="1"/>
  <c r="AD117" i="1"/>
  <c r="AE104" i="1" l="1"/>
  <c r="AE117" i="1"/>
  <c r="AG74" i="1"/>
  <c r="AG101" i="1" s="1"/>
  <c r="AG102" i="1" s="1"/>
  <c r="AF102" i="1"/>
  <c r="AF104" i="1" l="1"/>
  <c r="AF117" i="1"/>
  <c r="AG117" i="1"/>
  <c r="AG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Currie</author>
  </authors>
  <commentList>
    <comment ref="K79" authorId="0" shapeId="0" xr:uid="{03374BAD-626D-42DC-A736-B09D11EE6ED0}">
      <text>
        <r>
          <rPr>
            <b/>
            <sz val="9"/>
            <color indexed="81"/>
            <rFont val="Tahoma"/>
            <family val="2"/>
          </rPr>
          <t>Todd Currie:</t>
        </r>
        <r>
          <rPr>
            <sz val="9"/>
            <color indexed="81"/>
            <rFont val="Tahoma"/>
            <family val="2"/>
          </rPr>
          <t xml:space="preserve">
DOH Loan is paid off
</t>
        </r>
      </text>
    </comment>
  </commentList>
</comments>
</file>

<file path=xl/sharedStrings.xml><?xml version="1.0" encoding="utf-8"?>
<sst xmlns="http://schemas.openxmlformats.org/spreadsheetml/2006/main" count="441" uniqueCount="288">
  <si>
    <t>FY 18/19</t>
  </si>
  <si>
    <t>FY 19/20</t>
  </si>
  <si>
    <t>FY 20/21</t>
  </si>
  <si>
    <t>FY 21/22</t>
  </si>
  <si>
    <t>FY 22/23</t>
  </si>
  <si>
    <t>FY 23/24</t>
  </si>
  <si>
    <t>FY 24/25</t>
  </si>
  <si>
    <t>FY 25/26</t>
  </si>
  <si>
    <t>FY 26/27</t>
  </si>
  <si>
    <t>FY 27/28</t>
  </si>
  <si>
    <t>Active Residential Shares</t>
  </si>
  <si>
    <t xml:space="preserve">   New Active Residential Shares Sold</t>
  </si>
  <si>
    <t>Active Commercial Shares</t>
  </si>
  <si>
    <t xml:space="preserve">   New Commercial Shares Sold</t>
  </si>
  <si>
    <t>Reserve Shares</t>
  </si>
  <si>
    <t xml:space="preserve">   Reserve convert to Active</t>
  </si>
  <si>
    <t xml:space="preserve">   New Reserve Shares Sold</t>
  </si>
  <si>
    <t>Share Price</t>
  </si>
  <si>
    <t>Monthly Base Rate</t>
  </si>
  <si>
    <t>Usage Rate/cf</t>
  </si>
  <si>
    <t xml:space="preserve">   Usage growth rate</t>
  </si>
  <si>
    <t xml:space="preserve">   Billed cf (Annual)</t>
  </si>
  <si>
    <t>Reserve Base Rate</t>
  </si>
  <si>
    <t>Capital Charge</t>
  </si>
  <si>
    <t>Excise Rate on Bills</t>
  </si>
  <si>
    <t>Misc. Water Sales, Penalties, etc…</t>
  </si>
  <si>
    <t>Annual KingCo Franchise Fee</t>
  </si>
  <si>
    <t>Annual Inflation</t>
  </si>
  <si>
    <t>&lt;-- INPUTS</t>
  </si>
  <si>
    <t>Rough estimate of Avg. Active Monthly Bill</t>
  </si>
  <si>
    <t>Rough estimate of Avg. Reserve Monthly Bill</t>
  </si>
  <si>
    <t>Beginning Balance</t>
  </si>
  <si>
    <t xml:space="preserve">   Income</t>
  </si>
  <si>
    <t xml:space="preserve">      Water Usage</t>
  </si>
  <si>
    <t xml:space="preserve">      Excise Tax</t>
  </si>
  <si>
    <t xml:space="preserve">      Misc. Water Sales, etc…</t>
  </si>
  <si>
    <t xml:space="preserve">   Staffing</t>
  </si>
  <si>
    <t xml:space="preserve">   Business Operations</t>
  </si>
  <si>
    <t xml:space="preserve">   System Operations</t>
  </si>
  <si>
    <t xml:space="preserve">   Franchise Fee</t>
  </si>
  <si>
    <t>Operating Gain (Loss)</t>
  </si>
  <si>
    <t xml:space="preserve">   Transfer to System Replacements</t>
  </si>
  <si>
    <t>CAPITAL FUNDS</t>
  </si>
  <si>
    <t>System Replacements Beginning Balance</t>
  </si>
  <si>
    <t xml:space="preserve">   Transfer from Operations</t>
  </si>
  <si>
    <t xml:space="preserve">   Loans for Replacements</t>
  </si>
  <si>
    <t xml:space="preserve">   Loan Servicing for Replacements</t>
  </si>
  <si>
    <t xml:space="preserve">      Meter Replacements</t>
  </si>
  <si>
    <t xml:space="preserve">      Hake Springs Well House Demo</t>
  </si>
  <si>
    <t xml:space="preserve">      Springs Replacements</t>
  </si>
  <si>
    <t xml:space="preserve">      Office Replacements</t>
  </si>
  <si>
    <t xml:space="preserve">      Sandy Shores - PRV &amp; New Main</t>
  </si>
  <si>
    <t>M4</t>
  </si>
  <si>
    <t>D1</t>
  </si>
  <si>
    <t xml:space="preserve">      94th &amp; Summerhurst Connect</t>
  </si>
  <si>
    <t>D2</t>
  </si>
  <si>
    <t>D5</t>
  </si>
  <si>
    <t xml:space="preserve">      Hake Road Replacements</t>
  </si>
  <si>
    <t xml:space="preserve"> </t>
  </si>
  <si>
    <t>D3</t>
  </si>
  <si>
    <t xml:space="preserve">      Sandy Shores - Upper 275th</t>
  </si>
  <si>
    <t xml:space="preserve">      Upper SS (274th/90th) Replacements</t>
  </si>
  <si>
    <t>D6</t>
  </si>
  <si>
    <t xml:space="preserve">      99th to 264th Replacements</t>
  </si>
  <si>
    <t>D7</t>
  </si>
  <si>
    <t xml:space="preserve">      265th  Replacements</t>
  </si>
  <si>
    <t>D8</t>
  </si>
  <si>
    <t xml:space="preserve">      263rd Replacements</t>
  </si>
  <si>
    <t>D9</t>
  </si>
  <si>
    <t xml:space="preserve">      262nd Replacements</t>
  </si>
  <si>
    <t>D10</t>
  </si>
  <si>
    <t xml:space="preserve">      Unscheduled Replacements</t>
  </si>
  <si>
    <t>System Replacements Ending Balance</t>
  </si>
  <si>
    <t>Capital Improvements Beginning Balance</t>
  </si>
  <si>
    <t xml:space="preserve">   Loans for Improvements</t>
  </si>
  <si>
    <t xml:space="preserve">   Loan Servicing for Improvements</t>
  </si>
  <si>
    <t xml:space="preserve">      Booster Station Generator</t>
  </si>
  <si>
    <t xml:space="preserve">      Sandy Shores Filtration</t>
  </si>
  <si>
    <t xml:space="preserve">      Springs Improvement</t>
  </si>
  <si>
    <t xml:space="preserve">      Sandy Shores (Upper 275th Replace)</t>
  </si>
  <si>
    <t xml:space="preserve">      Hake Road Improvement</t>
  </si>
  <si>
    <t xml:space="preserve">      94th Improvement</t>
  </si>
  <si>
    <t xml:space="preserve">      Upper SS (274th/90th) Improvement</t>
  </si>
  <si>
    <t xml:space="preserve">      99th to 264th Improvement</t>
  </si>
  <si>
    <t xml:space="preserve">      265th Improvement</t>
  </si>
  <si>
    <t xml:space="preserve">      263rd Improvement</t>
  </si>
  <si>
    <t xml:space="preserve">      262nd Improvement</t>
  </si>
  <si>
    <t xml:space="preserve">      Unscheduled Improvement</t>
  </si>
  <si>
    <t>Capital Improvements Ending Balance</t>
  </si>
  <si>
    <t>TOTAL CAPITAL FUNDS</t>
  </si>
  <si>
    <t xml:space="preserve">   Total Base</t>
  </si>
  <si>
    <t xml:space="preserve">   Usage Charge</t>
  </si>
  <si>
    <t xml:space="preserve">   Other Income</t>
  </si>
  <si>
    <t xml:space="preserve">   Share Sales</t>
  </si>
  <si>
    <t xml:space="preserve">   Total Loan Inflow</t>
  </si>
  <si>
    <t xml:space="preserve">   Operations Costs</t>
  </si>
  <si>
    <t xml:space="preserve">   Total Projects Costs</t>
  </si>
  <si>
    <t xml:space="preserve">   Total Loan Service</t>
  </si>
  <si>
    <t xml:space="preserve">   Change in Emergency Fund</t>
  </si>
  <si>
    <t>Control</t>
  </si>
  <si>
    <t>LOANS</t>
  </si>
  <si>
    <t xml:space="preserve">   DoH - Dock St</t>
  </si>
  <si>
    <t xml:space="preserve">   Kitsap - Filtration</t>
  </si>
  <si>
    <t xml:space="preserve">   COVID EIDL</t>
  </si>
  <si>
    <t>TOTAL LOAN BALANCE</t>
  </si>
  <si>
    <t xml:space="preserve">VARIABLE vs FIXED </t>
  </si>
  <si>
    <t>Variable Income (Usage + Misc)</t>
  </si>
  <si>
    <t xml:space="preserve">   Net Variable</t>
  </si>
  <si>
    <t xml:space="preserve">   Net Fixed</t>
  </si>
  <si>
    <t>Loans</t>
  </si>
  <si>
    <t xml:space="preserve">    Total Discretionary Income</t>
  </si>
  <si>
    <t>Discretionary Costs</t>
  </si>
  <si>
    <t xml:space="preserve">   Net Discretionary</t>
  </si>
  <si>
    <r>
      <t xml:space="preserve">   </t>
    </r>
    <r>
      <rPr>
        <i/>
        <sz val="11"/>
        <color theme="1"/>
        <rFont val="Calibri"/>
        <family val="2"/>
        <scheme val="minor"/>
      </rPr>
      <t>annual increase</t>
    </r>
  </si>
  <si>
    <t>TOTAL FUNDS (Ops, Capital &amp; Emerg'y)</t>
  </si>
  <si>
    <t>OPERATIONS FUND</t>
  </si>
  <si>
    <t>Operations Ending Balance</t>
  </si>
  <si>
    <t xml:space="preserve">  Emergency Fund</t>
  </si>
  <si>
    <t xml:space="preserve">      Sandy Shores - PRV &amp; New Main Replace't</t>
  </si>
  <si>
    <t xml:space="preserve">      Sandy Shores - PRV &amp; New Main Improv't</t>
  </si>
  <si>
    <t>Very Rough Draft of CIP to include in 6-Year Plan</t>
  </si>
  <si>
    <t xml:space="preserve"> Capital Project:</t>
  </si>
  <si>
    <t>Historic pace to replace old hydrants</t>
  </si>
  <si>
    <t>Work to stabilize foundation/skirting, etc… (??)</t>
  </si>
  <si>
    <t>Anticipation of some needed replacement work at Springs</t>
  </si>
  <si>
    <t>New 25ft wells</t>
  </si>
  <si>
    <t>Currently underway</t>
  </si>
  <si>
    <t>Keep this project in our plans</t>
  </si>
  <si>
    <t>Historic budget for unexpected project</t>
  </si>
  <si>
    <t>Slow increase of historic budget for unexpected project</t>
  </si>
  <si>
    <t xml:space="preserve">   Taxes, Licenses, Fees</t>
  </si>
  <si>
    <t xml:space="preserve">   Capital Charge</t>
  </si>
  <si>
    <t xml:space="preserve">   50% Reserve Base</t>
  </si>
  <si>
    <t xml:space="preserve">      Base Rate Residential &amp; 50% Reserved</t>
  </si>
  <si>
    <t>Discr. Income (Capital and 1/2 Reserve Base &amp; Transfer to Replacements</t>
  </si>
  <si>
    <t>Fixed Income (Active and 1/2 Reserve Base LESS Transfer to Replacements</t>
  </si>
  <si>
    <t>Variable Operating Costs</t>
  </si>
  <si>
    <t>Fixed Operating Costs</t>
  </si>
  <si>
    <t>Dockton Water Association</t>
  </si>
  <si>
    <t xml:space="preserve"> (in 000's)</t>
  </si>
  <si>
    <t>APPLY FOR LOAN/GRANT</t>
  </si>
  <si>
    <t>ACCESS TO $$$</t>
  </si>
  <si>
    <t>SPEND $$$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</si>
  <si>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</si>
  <si>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</si>
  <si>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</si>
  <si>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</si>
  <si>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</si>
  <si>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</si>
  <si>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</si>
  <si>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</si>
  <si>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22/23</t>
  </si>
  <si>
    <t>SS PRV - PreConstruction</t>
  </si>
  <si>
    <t>SS PRV - Construction</t>
  </si>
  <si>
    <t>Wells - PreConstruction</t>
  </si>
  <si>
    <t>Wells - Construction</t>
  </si>
  <si>
    <t>Hake - PreConstruction</t>
  </si>
  <si>
    <t>Hake PreConstruction</t>
  </si>
  <si>
    <t>Hake Construction</t>
  </si>
  <si>
    <t>Pt Piner - PreConstruction</t>
  </si>
  <si>
    <t>Pt Piner Construction</t>
  </si>
  <si>
    <t>PT Piner - PreConstruction</t>
  </si>
  <si>
    <t>Pt. Piner Construction</t>
  </si>
  <si>
    <t>Hake Pre-Construction</t>
  </si>
  <si>
    <t>94th Main - PreConstruction</t>
  </si>
  <si>
    <t>31/32</t>
  </si>
  <si>
    <t>32/33</t>
  </si>
  <si>
    <t>94th Main - Construction</t>
  </si>
  <si>
    <t xml:space="preserve">      94th to Pt Piner</t>
  </si>
  <si>
    <t>(Water Silos)</t>
  </si>
  <si>
    <t>X</t>
  </si>
  <si>
    <t xml:space="preserve">  (Spring for PreConstruction)</t>
  </si>
  <si>
    <t xml:space="preserve">  (July for Construction)</t>
  </si>
  <si>
    <t xml:space="preserve">  (Typically Oct/Nov)</t>
  </si>
  <si>
    <t xml:space="preserve">      94th Main Replacements</t>
  </si>
  <si>
    <t xml:space="preserve">      Springs Improvement (New Wells)</t>
  </si>
  <si>
    <t xml:space="preserve">      Lower SS Improvement</t>
  </si>
  <si>
    <t>FY 28/29</t>
  </si>
  <si>
    <t>FY 29/30</t>
  </si>
  <si>
    <t>FY 30/31</t>
  </si>
  <si>
    <t>FY 31/32</t>
  </si>
  <si>
    <t>FY 32/33</t>
  </si>
  <si>
    <t>Bill</t>
  </si>
  <si>
    <t>Reserved Shares &amp; 0cf</t>
  </si>
  <si>
    <t>Approx 300cf / month</t>
  </si>
  <si>
    <t>Approx 600cf / month</t>
  </si>
  <si>
    <t>Approx 1000cf / month</t>
  </si>
  <si>
    <t>Approx 2000cf / month</t>
  </si>
  <si>
    <t>Usage Rate</t>
  </si>
  <si>
    <t>Base Charge</t>
  </si>
  <si>
    <t>Excise Tax Rate</t>
  </si>
  <si>
    <t>%</t>
  </si>
  <si>
    <t>Bills</t>
  </si>
  <si>
    <t>Total</t>
  </si>
  <si>
    <t>&lt;&lt; Inputs</t>
  </si>
  <si>
    <t>Rev</t>
  </si>
  <si>
    <t>Annual Revenue</t>
  </si>
  <si>
    <t>Well project:   Notice to Proceed 1JUL23</t>
  </si>
  <si>
    <t>submit permit package</t>
  </si>
  <si>
    <t>Permit Fee</t>
  </si>
  <si>
    <t>Drill 5 Wells</t>
  </si>
  <si>
    <t>Notice to Proceed</t>
  </si>
  <si>
    <t>Apply for DOH PREconstruction Loan</t>
  </si>
  <si>
    <t>Apply for DoH Construction Loan</t>
  </si>
  <si>
    <t>5 add'l wells</t>
  </si>
  <si>
    <t>General construction</t>
  </si>
  <si>
    <t>PRV Relocation</t>
  </si>
  <si>
    <t>Apply for DoH PREconstruction Loan</t>
  </si>
  <si>
    <t>Partial Engineering</t>
  </si>
  <si>
    <t>Complete Engineering and Pre-Construciton</t>
  </si>
  <si>
    <t>Water Quality Testing</t>
  </si>
  <si>
    <t>Wells- Engineering/Phase 1</t>
  </si>
  <si>
    <t>Lower SS - PreConstruction</t>
  </si>
  <si>
    <t xml:space="preserve">   Sales of Shares/Misc.</t>
  </si>
  <si>
    <t xml:space="preserve">      Silo Study</t>
  </si>
  <si>
    <t>Average Active Bill</t>
  </si>
  <si>
    <t>Average Reserve Bill</t>
  </si>
  <si>
    <t>IMPACT of Rate Change</t>
  </si>
  <si>
    <t>Total Number of Members</t>
  </si>
  <si>
    <t>(US Dollars in '000's)</t>
  </si>
  <si>
    <t>DWA_SWSMP_April</t>
  </si>
  <si>
    <t>FY 33/34</t>
  </si>
  <si>
    <t>FY 34/35</t>
  </si>
  <si>
    <t>FY 35/36</t>
  </si>
  <si>
    <t>FY 36/37</t>
  </si>
  <si>
    <t>FY 37/38</t>
  </si>
  <si>
    <t>FY 38/39</t>
  </si>
  <si>
    <t>FY 39/40</t>
  </si>
  <si>
    <t>FY40/41</t>
  </si>
  <si>
    <t>FY 41/42</t>
  </si>
  <si>
    <t>FY 42/43</t>
  </si>
  <si>
    <t>FY 43/44</t>
  </si>
  <si>
    <t>FY 44/45</t>
  </si>
  <si>
    <t>FY 45/46</t>
  </si>
  <si>
    <t>FY 46/47</t>
  </si>
  <si>
    <t>FY 47/48</t>
  </si>
  <si>
    <t>TOTAL Increase/(Decrease) of Funds</t>
  </si>
  <si>
    <t xml:space="preserve">     Commercial</t>
  </si>
  <si>
    <t xml:space="preserve">      Lower SS (Beach) Replacements</t>
  </si>
  <si>
    <t xml:space="preserve">      Summerhurst--SS Connection</t>
  </si>
  <si>
    <t xml:space="preserve">      Summerhurst Loop</t>
  </si>
  <si>
    <t>D4</t>
  </si>
  <si>
    <t>D11</t>
  </si>
  <si>
    <t>D12</t>
  </si>
  <si>
    <t>D13</t>
  </si>
  <si>
    <t xml:space="preserve">      Summerhurst Walk</t>
  </si>
  <si>
    <t>D14</t>
  </si>
  <si>
    <t xml:space="preserve">      PP Loop to 288th Connection</t>
  </si>
  <si>
    <t>D15</t>
  </si>
  <si>
    <t xml:space="preserve">      Hake to Manz Connection</t>
  </si>
  <si>
    <t xml:space="preserve">   Accum inflator</t>
  </si>
  <si>
    <r>
      <t xml:space="preserve">   </t>
    </r>
    <r>
      <rPr>
        <b/>
        <sz val="11"/>
        <color theme="1"/>
        <rFont val="Calibri"/>
        <family val="2"/>
        <scheme val="minor"/>
      </rPr>
      <t>Improvements</t>
    </r>
    <r>
      <rPr>
        <sz val="11"/>
        <color theme="1"/>
        <rFont val="Calibri"/>
        <family val="2"/>
        <scheme val="minor"/>
      </rPr>
      <t xml:space="preserve"> Projects </t>
    </r>
    <r>
      <rPr>
        <i/>
        <sz val="11"/>
        <color theme="1"/>
        <rFont val="Calibri"/>
        <family val="2"/>
        <scheme val="minor"/>
      </rPr>
      <t>(Inflated)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</si>
  <si>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Replacements </t>
    </r>
    <r>
      <rPr>
        <sz val="11"/>
        <color theme="1"/>
        <rFont val="Calibri"/>
        <family val="2"/>
        <scheme val="minor"/>
      </rPr>
      <t>Projects (Inflated)</t>
    </r>
  </si>
  <si>
    <t>Interest Rate on Loans</t>
  </si>
  <si>
    <t xml:space="preserve">    Loans taken Year 2023</t>
  </si>
  <si>
    <t xml:space="preserve">    Loans taken Year 2024</t>
  </si>
  <si>
    <t xml:space="preserve">    Loans taken Year 2025</t>
  </si>
  <si>
    <t xml:space="preserve">    Loans taken Year 2026</t>
  </si>
  <si>
    <t xml:space="preserve">    Loans taken Year 2027</t>
  </si>
  <si>
    <t xml:space="preserve">    Loans taken Year 2028</t>
  </si>
  <si>
    <t xml:space="preserve">    Loans taken Year 2029</t>
  </si>
  <si>
    <t xml:space="preserve">    Loans taken Year 2030</t>
  </si>
  <si>
    <t xml:space="preserve">    Loans taken Year 2031</t>
  </si>
  <si>
    <t xml:space="preserve">    Loans taken Year 2032</t>
  </si>
  <si>
    <t xml:space="preserve">    Loans taken Year 2033</t>
  </si>
  <si>
    <t xml:space="preserve">    Loans taken Year 2034</t>
  </si>
  <si>
    <t xml:space="preserve">    Loans taken Year 2035</t>
  </si>
  <si>
    <t xml:space="preserve">    Loans taken Year 2036</t>
  </si>
  <si>
    <t xml:space="preserve">    Loans taken Year 2037</t>
  </si>
  <si>
    <t xml:space="preserve">    Loans taken Year 2038</t>
  </si>
  <si>
    <t xml:space="preserve">    Loans taken Year 2039</t>
  </si>
  <si>
    <t xml:space="preserve">    Loans taken Year 2040</t>
  </si>
  <si>
    <t xml:space="preserve">    Loans taken Year 2041</t>
  </si>
  <si>
    <t xml:space="preserve">    Loans taken Year 2042</t>
  </si>
  <si>
    <t xml:space="preserve">    Loans taken Year 2043</t>
  </si>
  <si>
    <t xml:space="preserve">    Loans taken Year 2044</t>
  </si>
  <si>
    <t xml:space="preserve">    Loans taken Year 2045</t>
  </si>
  <si>
    <t xml:space="preserve">    Loans taken Year 2046</t>
  </si>
  <si>
    <t xml:space="preserve">    Loans taken Year 2047</t>
  </si>
  <si>
    <t xml:space="preserve">    Loans taken Year 2048</t>
  </si>
  <si>
    <t>Replacement Loan Servicing</t>
  </si>
  <si>
    <t>Improvements Loan Servicing</t>
  </si>
  <si>
    <t>TOTAL LOAN SERVICING</t>
  </si>
  <si>
    <t xml:space="preserve">   Total Loan Servicing - Replacements</t>
  </si>
  <si>
    <t xml:space="preserve">   Total Loan Servicing - Improvements</t>
  </si>
  <si>
    <t>6-Year Financial Plan  (extended and inflated to 2048)</t>
  </si>
  <si>
    <t xml:space="preserve">CHANGE </t>
  </si>
  <si>
    <t>Fr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</si>
</sst>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_(&quot;$&quot;* #,##0.0_);_(&quot;$&quot;* \(#,##0.0\);_(&quot;$&quot;* &quot;-&quot;??_);_(@_)"/>
    <numFmt numFmtId="169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rgb="FF1D222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2">
    <xf numFmtId="0" fontId="0" fillId="0" borderId="0" xfId="0"/>
    <xf numFmtId="164" fontId="2" fillId="2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0" xfId="3" applyFont="1" applyFill="1" applyBorder="1" applyAlignment="1">
      <alignment horizontal="center"/>
    </xf>
    <xf numFmtId="0" fontId="0" fillId="0" borderId="4" xfId="0" applyBorder="1"/>
    <xf numFmtId="164" fontId="0" fillId="2" borderId="4" xfId="2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9" fontId="0" fillId="0" borderId="0" xfId="3" applyFont="1" applyFill="1"/>
    <xf numFmtId="0" fontId="0" fillId="2" borderId="7" xfId="0" applyFill="1" applyBorder="1"/>
    <xf numFmtId="0" fontId="0" fillId="3" borderId="8" xfId="0" applyFill="1" applyBorder="1"/>
    <xf numFmtId="0" fontId="0" fillId="0" borderId="8" xfId="0" applyBorder="1"/>
    <xf numFmtId="0" fontId="0" fillId="0" borderId="9" xfId="0" applyBorder="1"/>
    <xf numFmtId="164" fontId="0" fillId="2" borderId="9" xfId="2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9" xfId="0" applyFill="1" applyBorder="1"/>
    <xf numFmtId="0" fontId="3" fillId="0" borderId="0" xfId="0" applyFont="1"/>
    <xf numFmtId="164" fontId="0" fillId="2" borderId="7" xfId="2" applyNumberFormat="1" applyFont="1" applyFill="1" applyBorder="1"/>
    <xf numFmtId="44" fontId="0" fillId="2" borderId="7" xfId="2" applyFont="1" applyFill="1" applyBorder="1"/>
    <xf numFmtId="167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0" borderId="11" xfId="1" applyNumberFormat="1" applyFont="1" applyFill="1" applyBorder="1"/>
    <xf numFmtId="167" fontId="0" fillId="0" borderId="9" xfId="1" applyNumberFormat="1" applyFont="1" applyFill="1" applyBorder="1"/>
    <xf numFmtId="164" fontId="0" fillId="0" borderId="8" xfId="2" applyNumberFormat="1" applyFont="1" applyBorder="1"/>
    <xf numFmtId="164" fontId="0" fillId="0" borderId="0" xfId="2" applyNumberFormat="1" applyFont="1"/>
    <xf numFmtId="165" fontId="0" fillId="2" borderId="7" xfId="3" applyNumberFormat="1" applyFont="1" applyFill="1" applyBorder="1"/>
    <xf numFmtId="165" fontId="0" fillId="3" borderId="8" xfId="3" applyNumberFormat="1" applyFont="1" applyFill="1" applyBorder="1"/>
    <xf numFmtId="164" fontId="0" fillId="3" borderId="8" xfId="2" applyNumberFormat="1" applyFont="1" applyFill="1" applyBorder="1"/>
    <xf numFmtId="165" fontId="0" fillId="2" borderId="7" xfId="0" applyNumberFormat="1" applyFill="1" applyBorder="1"/>
    <xf numFmtId="165" fontId="0" fillId="3" borderId="8" xfId="0" applyNumberFormat="1" applyFill="1" applyBorder="1"/>
    <xf numFmtId="9" fontId="0" fillId="2" borderId="9" xfId="3" applyFont="1" applyFill="1" applyBorder="1"/>
    <xf numFmtId="9" fontId="0" fillId="2" borderId="10" xfId="0" applyNumberFormat="1" applyFill="1" applyBorder="1"/>
    <xf numFmtId="9" fontId="0" fillId="3" borderId="9" xfId="0" applyNumberFormat="1" applyFill="1" applyBorder="1"/>
    <xf numFmtId="0" fontId="0" fillId="0" borderId="12" xfId="0" applyBorder="1"/>
    <xf numFmtId="44" fontId="0" fillId="0" borderId="6" xfId="0" applyNumberFormat="1" applyBorder="1"/>
    <xf numFmtId="44" fontId="0" fillId="0" borderId="4" xfId="0" applyNumberFormat="1" applyBorder="1"/>
    <xf numFmtId="9" fontId="0" fillId="0" borderId="0" xfId="3" applyFont="1" applyFill="1" applyBorder="1"/>
    <xf numFmtId="164" fontId="0" fillId="2" borderId="14" xfId="2" applyNumberFormat="1" applyFont="1" applyFill="1" applyBorder="1"/>
    <xf numFmtId="0" fontId="0" fillId="2" borderId="14" xfId="0" applyFill="1" applyBorder="1"/>
    <xf numFmtId="44" fontId="0" fillId="0" borderId="0" xfId="0" applyNumberFormat="1"/>
    <xf numFmtId="164" fontId="4" fillId="4" borderId="16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0" fillId="2" borderId="21" xfId="2" applyNumberFormat="1" applyFont="1" applyFill="1" applyBorder="1" applyAlignment="1">
      <alignment vertical="center"/>
    </xf>
    <xf numFmtId="164" fontId="0" fillId="2" borderId="21" xfId="2" applyNumberFormat="1" applyFont="1" applyFill="1" applyBorder="1" applyAlignment="1">
      <alignment horizontal="left" vertical="center"/>
    </xf>
    <xf numFmtId="164" fontId="0" fillId="2" borderId="22" xfId="2" applyNumberFormat="1" applyFont="1" applyFill="1" applyBorder="1" applyAlignment="1">
      <alignment horizontal="left" vertical="center"/>
    </xf>
    <xf numFmtId="164" fontId="0" fillId="0" borderId="11" xfId="2" applyNumberFormat="1" applyFont="1" applyBorder="1" applyAlignment="1">
      <alignment horizontal="left" vertical="center"/>
    </xf>
    <xf numFmtId="164" fontId="0" fillId="0" borderId="21" xfId="2" applyNumberFormat="1" applyFont="1" applyBorder="1" applyAlignment="1">
      <alignment horizontal="left" vertical="center"/>
    </xf>
    <xf numFmtId="168" fontId="0" fillId="0" borderId="23" xfId="2" applyNumberFormat="1" applyFont="1" applyBorder="1" applyAlignment="1">
      <alignment horizontal="left" vertical="center"/>
    </xf>
    <xf numFmtId="164" fontId="0" fillId="2" borderId="23" xfId="2" applyNumberFormat="1" applyFont="1" applyFill="1" applyBorder="1" applyAlignment="1">
      <alignment horizontal="left" vertical="center"/>
    </xf>
    <xf numFmtId="164" fontId="0" fillId="0" borderId="25" xfId="2" applyNumberFormat="1" applyFont="1" applyFill="1" applyBorder="1" applyAlignment="1">
      <alignment horizontal="left" vertical="center"/>
    </xf>
    <xf numFmtId="164" fontId="0" fillId="2" borderId="23" xfId="2" applyNumberFormat="1" applyFont="1" applyFill="1" applyBorder="1" applyAlignment="1">
      <alignment vertical="center"/>
    </xf>
    <xf numFmtId="164" fontId="0" fillId="3" borderId="11" xfId="2" applyNumberFormat="1" applyFont="1" applyFill="1" applyBorder="1" applyAlignment="1">
      <alignment horizontal="left" vertical="center"/>
    </xf>
    <xf numFmtId="164" fontId="0" fillId="2" borderId="26" xfId="2" applyNumberFormat="1" applyFont="1" applyFill="1" applyBorder="1" applyAlignment="1">
      <alignment horizontal="left" vertical="center"/>
    </xf>
    <xf numFmtId="164" fontId="0" fillId="2" borderId="27" xfId="2" applyNumberFormat="1" applyFont="1" applyFill="1" applyBorder="1" applyAlignment="1">
      <alignment vertical="center"/>
    </xf>
    <xf numFmtId="164" fontId="0" fillId="0" borderId="11" xfId="2" applyNumberFormat="1" applyFont="1" applyFill="1" applyBorder="1" applyAlignment="1">
      <alignment horizontal="left" vertical="center"/>
    </xf>
    <xf numFmtId="164" fontId="0" fillId="0" borderId="21" xfId="2" applyNumberFormat="1" applyFont="1" applyFill="1" applyBorder="1" applyAlignment="1">
      <alignment horizontal="left" vertical="center"/>
    </xf>
    <xf numFmtId="168" fontId="0" fillId="0" borderId="23" xfId="2" applyNumberFormat="1" applyFont="1" applyFill="1" applyBorder="1" applyAlignment="1">
      <alignment horizontal="left" vertical="center"/>
    </xf>
    <xf numFmtId="164" fontId="3" fillId="2" borderId="23" xfId="2" applyNumberFormat="1" applyFont="1" applyFill="1" applyBorder="1" applyAlignment="1">
      <alignment horizontal="left" vertical="center"/>
    </xf>
    <xf numFmtId="164" fontId="3" fillId="2" borderId="22" xfId="2" applyNumberFormat="1" applyFont="1" applyFill="1" applyBorder="1" applyAlignment="1">
      <alignment horizontal="left" vertical="center"/>
    </xf>
    <xf numFmtId="164" fontId="3" fillId="0" borderId="11" xfId="2" applyNumberFormat="1" applyFont="1" applyBorder="1" applyAlignment="1">
      <alignment horizontal="left" vertical="center"/>
    </xf>
    <xf numFmtId="164" fontId="3" fillId="0" borderId="21" xfId="2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3" fillId="2" borderId="29" xfId="2" applyNumberFormat="1" applyFont="1" applyFill="1" applyBorder="1" applyAlignment="1">
      <alignment horizontal="left" vertical="center"/>
    </xf>
    <xf numFmtId="164" fontId="3" fillId="2" borderId="30" xfId="2" applyNumberFormat="1" applyFont="1" applyFill="1" applyBorder="1" applyAlignment="1">
      <alignment horizontal="left" vertical="center"/>
    </xf>
    <xf numFmtId="164" fontId="3" fillId="0" borderId="3" xfId="2" applyNumberFormat="1" applyFont="1" applyBorder="1" applyAlignment="1">
      <alignment horizontal="left" vertical="center"/>
    </xf>
    <xf numFmtId="164" fontId="3" fillId="0" borderId="29" xfId="2" applyNumberFormat="1" applyFont="1" applyBorder="1" applyAlignment="1">
      <alignment horizontal="left" vertical="center"/>
    </xf>
    <xf numFmtId="164" fontId="0" fillId="0" borderId="23" xfId="2" applyNumberFormat="1" applyFont="1" applyBorder="1" applyAlignment="1">
      <alignment horizontal="left" vertical="center"/>
    </xf>
    <xf numFmtId="164" fontId="0" fillId="0" borderId="25" xfId="2" applyNumberFormat="1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164" fontId="0" fillId="2" borderId="25" xfId="2" applyNumberFormat="1" applyFont="1" applyFill="1" applyBorder="1" applyAlignment="1">
      <alignment vertical="center"/>
    </xf>
    <xf numFmtId="164" fontId="0" fillId="2" borderId="26" xfId="2" applyNumberFormat="1" applyFont="1" applyFill="1" applyBorder="1" applyAlignment="1">
      <alignment vertical="center"/>
    </xf>
    <xf numFmtId="164" fontId="0" fillId="2" borderId="32" xfId="2" applyNumberFormat="1" applyFont="1" applyFill="1" applyBorder="1" applyAlignment="1">
      <alignment horizontal="left" vertical="center"/>
    </xf>
    <xf numFmtId="164" fontId="0" fillId="0" borderId="8" xfId="2" applyNumberFormat="1" applyFont="1" applyBorder="1" applyAlignment="1">
      <alignment horizontal="left" vertical="center"/>
    </xf>
    <xf numFmtId="164" fontId="0" fillId="0" borderId="26" xfId="2" applyNumberFormat="1" applyFont="1" applyFill="1" applyBorder="1" applyAlignment="1">
      <alignment horizontal="left" vertical="center"/>
    </xf>
    <xf numFmtId="164" fontId="0" fillId="0" borderId="26" xfId="2" applyNumberFormat="1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164" fontId="0" fillId="2" borderId="34" xfId="2" applyNumberFormat="1" applyFont="1" applyFill="1" applyBorder="1" applyAlignment="1">
      <alignment vertical="center"/>
    </xf>
    <xf numFmtId="164" fontId="0" fillId="2" borderId="35" xfId="2" applyNumberFormat="1" applyFont="1" applyFill="1" applyBorder="1" applyAlignment="1">
      <alignment vertical="center"/>
    </xf>
    <xf numFmtId="164" fontId="0" fillId="2" borderId="35" xfId="2" applyNumberFormat="1" applyFont="1" applyFill="1" applyBorder="1" applyAlignment="1">
      <alignment horizontal="left" vertical="center"/>
    </xf>
    <xf numFmtId="164" fontId="0" fillId="2" borderId="36" xfId="2" applyNumberFormat="1" applyFont="1" applyFill="1" applyBorder="1" applyAlignment="1">
      <alignment horizontal="left" vertical="center"/>
    </xf>
    <xf numFmtId="0" fontId="0" fillId="0" borderId="38" xfId="0" applyBorder="1" applyAlignment="1">
      <alignment vertical="center"/>
    </xf>
    <xf numFmtId="164" fontId="0" fillId="2" borderId="25" xfId="2" applyNumberFormat="1" applyFont="1" applyFill="1" applyBorder="1" applyAlignment="1">
      <alignment horizontal="left" vertical="center"/>
    </xf>
    <xf numFmtId="164" fontId="3" fillId="2" borderId="28" xfId="2" applyNumberFormat="1" applyFont="1" applyFill="1" applyBorder="1" applyAlignment="1">
      <alignment vertical="center"/>
    </xf>
    <xf numFmtId="164" fontId="3" fillId="2" borderId="29" xfId="2" applyNumberFormat="1" applyFont="1" applyFill="1" applyBorder="1" applyAlignment="1">
      <alignment vertical="center"/>
    </xf>
    <xf numFmtId="164" fontId="3" fillId="0" borderId="28" xfId="2" applyNumberFormat="1" applyFont="1" applyBorder="1" applyAlignment="1">
      <alignment horizontal="left" vertical="center"/>
    </xf>
    <xf numFmtId="164" fontId="3" fillId="4" borderId="17" xfId="2" applyNumberFormat="1" applyFont="1" applyFill="1" applyBorder="1" applyAlignment="1">
      <alignment horizontal="left" vertical="center"/>
    </xf>
    <xf numFmtId="164" fontId="3" fillId="4" borderId="18" xfId="2" applyNumberFormat="1" applyFont="1" applyFill="1" applyBorder="1" applyAlignment="1">
      <alignment horizontal="left" vertical="center"/>
    </xf>
    <xf numFmtId="164" fontId="3" fillId="4" borderId="19" xfId="2" applyNumberFormat="1" applyFont="1" applyFill="1" applyBorder="1" applyAlignment="1">
      <alignment horizontal="left" vertical="center"/>
    </xf>
    <xf numFmtId="164" fontId="3" fillId="4" borderId="16" xfId="2" applyNumberFormat="1" applyFont="1" applyFill="1" applyBorder="1" applyAlignment="1">
      <alignment horizontal="left" vertical="center"/>
    </xf>
    <xf numFmtId="164" fontId="0" fillId="0" borderId="8" xfId="2" applyNumberFormat="1" applyFont="1" applyFill="1" applyBorder="1" applyAlignment="1">
      <alignment horizontal="left" vertical="center"/>
    </xf>
    <xf numFmtId="9" fontId="0" fillId="0" borderId="0" xfId="3" applyFont="1"/>
    <xf numFmtId="164" fontId="0" fillId="0" borderId="23" xfId="2" applyNumberFormat="1" applyFont="1" applyFill="1" applyBorder="1" applyAlignment="1">
      <alignment horizontal="left" vertical="center"/>
    </xf>
    <xf numFmtId="164" fontId="3" fillId="2" borderId="34" xfId="2" applyNumberFormat="1" applyFont="1" applyFill="1" applyBorder="1" applyAlignment="1">
      <alignment vertical="center"/>
    </xf>
    <xf numFmtId="164" fontId="3" fillId="2" borderId="35" xfId="2" applyNumberFormat="1" applyFont="1" applyFill="1" applyBorder="1" applyAlignment="1">
      <alignment vertical="center"/>
    </xf>
    <xf numFmtId="164" fontId="3" fillId="2" borderId="35" xfId="2" applyNumberFormat="1" applyFont="1" applyFill="1" applyBorder="1" applyAlignment="1">
      <alignment horizontal="left" vertical="center"/>
    </xf>
    <xf numFmtId="164" fontId="3" fillId="2" borderId="36" xfId="2" applyNumberFormat="1" applyFont="1" applyFill="1" applyBorder="1" applyAlignment="1">
      <alignment horizontal="left" vertical="center"/>
    </xf>
    <xf numFmtId="164" fontId="3" fillId="0" borderId="37" xfId="2" applyNumberFormat="1" applyFont="1" applyBorder="1" applyAlignment="1">
      <alignment horizontal="left" vertical="center"/>
    </xf>
    <xf numFmtId="164" fontId="3" fillId="0" borderId="35" xfId="2" applyNumberFormat="1" applyFont="1" applyBorder="1" applyAlignment="1">
      <alignment horizontal="left" vertical="center"/>
    </xf>
    <xf numFmtId="164" fontId="3" fillId="0" borderId="34" xfId="2" applyNumberFormat="1" applyFont="1" applyBorder="1" applyAlignment="1">
      <alignment horizontal="left" vertical="center"/>
    </xf>
    <xf numFmtId="164" fontId="5" fillId="4" borderId="16" xfId="2" applyNumberFormat="1" applyFont="1" applyFill="1" applyBorder="1" applyAlignment="1">
      <alignment vertical="center"/>
    </xf>
    <xf numFmtId="164" fontId="5" fillId="4" borderId="17" xfId="2" applyNumberFormat="1" applyFont="1" applyFill="1" applyBorder="1" applyAlignment="1">
      <alignment vertical="center"/>
    </xf>
    <xf numFmtId="0" fontId="0" fillId="0" borderId="40" xfId="0" quotePrefix="1" applyBorder="1"/>
    <xf numFmtId="0" fontId="0" fillId="0" borderId="41" xfId="0" quotePrefix="1" applyBorder="1"/>
    <xf numFmtId="6" fontId="0" fillId="0" borderId="41" xfId="0" quotePrefix="1" applyNumberFormat="1" applyBorder="1"/>
    <xf numFmtId="164" fontId="4" fillId="4" borderId="23" xfId="2" applyNumberFormat="1" applyFont="1" applyFill="1" applyBorder="1" applyAlignment="1">
      <alignment vertical="center"/>
    </xf>
    <xf numFmtId="164" fontId="4" fillId="4" borderId="21" xfId="2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64" fontId="0" fillId="0" borderId="37" xfId="2" applyNumberFormat="1" applyFont="1" applyBorder="1" applyAlignment="1">
      <alignment horizontal="left" vertical="center"/>
    </xf>
    <xf numFmtId="164" fontId="0" fillId="0" borderId="35" xfId="2" applyNumberFormat="1" applyFont="1" applyBorder="1" applyAlignment="1">
      <alignment horizontal="left" vertical="center"/>
    </xf>
    <xf numFmtId="164" fontId="0" fillId="0" borderId="34" xfId="2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vertical="center"/>
    </xf>
    <xf numFmtId="164" fontId="3" fillId="2" borderId="0" xfId="2" applyNumberFormat="1" applyFont="1" applyFill="1" applyBorder="1" applyAlignment="1">
      <alignment horizontal="left" vertical="center"/>
    </xf>
    <xf numFmtId="164" fontId="3" fillId="0" borderId="0" xfId="2" applyNumberFormat="1" applyFont="1" applyBorder="1" applyAlignment="1">
      <alignment horizontal="left" vertical="center"/>
    </xf>
    <xf numFmtId="0" fontId="0" fillId="0" borderId="44" xfId="0" applyBorder="1"/>
    <xf numFmtId="0" fontId="0" fillId="0" borderId="45" xfId="0" applyBorder="1"/>
    <xf numFmtId="164" fontId="0" fillId="0" borderId="45" xfId="2" applyNumberFormat="1" applyFont="1" applyBorder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0" fillId="0" borderId="0" xfId="2" applyNumberFormat="1" applyFont="1" applyFill="1"/>
    <xf numFmtId="0" fontId="3" fillId="0" borderId="12" xfId="0" applyFont="1" applyBorder="1" applyAlignment="1">
      <alignment vertical="center"/>
    </xf>
    <xf numFmtId="164" fontId="0" fillId="2" borderId="4" xfId="2" applyNumberFormat="1" applyFont="1" applyFill="1" applyBorder="1" applyAlignment="1">
      <alignment vertical="center"/>
    </xf>
    <xf numFmtId="164" fontId="0" fillId="2" borderId="4" xfId="0" applyNumberFormat="1" applyFill="1" applyBorder="1"/>
    <xf numFmtId="164" fontId="0" fillId="0" borderId="4" xfId="0" applyNumberFormat="1" applyBorder="1"/>
    <xf numFmtId="0" fontId="0" fillId="0" borderId="13" xfId="0" applyBorder="1" applyAlignment="1">
      <alignment vertical="center"/>
    </xf>
    <xf numFmtId="164" fontId="0" fillId="2" borderId="14" xfId="2" applyNumberFormat="1" applyFont="1" applyFill="1" applyBorder="1" applyAlignment="1">
      <alignment vertical="center"/>
    </xf>
    <xf numFmtId="164" fontId="0" fillId="2" borderId="14" xfId="0" applyNumberFormat="1" applyFill="1" applyBorder="1"/>
    <xf numFmtId="164" fontId="0" fillId="0" borderId="14" xfId="0" applyNumberFormat="1" applyBorder="1"/>
    <xf numFmtId="164" fontId="0" fillId="0" borderId="4" xfId="2" applyNumberFormat="1" applyFont="1" applyBorder="1"/>
    <xf numFmtId="0" fontId="0" fillId="0" borderId="20" xfId="0" applyBorder="1"/>
    <xf numFmtId="164" fontId="0" fillId="0" borderId="9" xfId="2" applyNumberFormat="1" applyFont="1" applyBorder="1"/>
    <xf numFmtId="164" fontId="0" fillId="0" borderId="9" xfId="0" applyNumberFormat="1" applyBorder="1"/>
    <xf numFmtId="0" fontId="3" fillId="0" borderId="46" xfId="0" applyFont="1" applyBorder="1"/>
    <xf numFmtId="164" fontId="3" fillId="0" borderId="47" xfId="2" applyNumberFormat="1" applyFont="1" applyBorder="1"/>
    <xf numFmtId="164" fontId="3" fillId="0" borderId="47" xfId="0" applyNumberFormat="1" applyFont="1" applyBorder="1"/>
    <xf numFmtId="164" fontId="0" fillId="0" borderId="0" xfId="3" applyNumberFormat="1" applyFont="1" applyFill="1"/>
    <xf numFmtId="0" fontId="0" fillId="0" borderId="31" xfId="0" applyBorder="1"/>
    <xf numFmtId="0" fontId="3" fillId="0" borderId="20" xfId="0" applyFont="1" applyBorder="1"/>
    <xf numFmtId="164" fontId="3" fillId="0" borderId="9" xfId="2" applyNumberFormat="1" applyFont="1" applyBorder="1"/>
    <xf numFmtId="164" fontId="3" fillId="0" borderId="9" xfId="0" applyNumberFormat="1" applyFont="1" applyBorder="1"/>
    <xf numFmtId="0" fontId="0" fillId="0" borderId="39" xfId="0" applyBorder="1"/>
    <xf numFmtId="164" fontId="0" fillId="0" borderId="1" xfId="2" applyNumberFormat="1" applyFont="1" applyBorder="1"/>
    <xf numFmtId="164" fontId="0" fillId="0" borderId="1" xfId="0" applyNumberFormat="1" applyBorder="1"/>
    <xf numFmtId="164" fontId="0" fillId="2" borderId="0" xfId="2" applyNumberFormat="1" applyFont="1" applyFill="1" applyBorder="1"/>
    <xf numFmtId="44" fontId="0" fillId="0" borderId="8" xfId="0" applyNumberFormat="1" applyBorder="1"/>
    <xf numFmtId="165" fontId="0" fillId="0" borderId="8" xfId="3" applyNumberFormat="1" applyFont="1" applyBorder="1"/>
    <xf numFmtId="44" fontId="0" fillId="2" borderId="4" xfId="0" applyNumberFormat="1" applyFill="1" applyBorder="1"/>
    <xf numFmtId="165" fontId="0" fillId="0" borderId="15" xfId="3" applyNumberFormat="1" applyFont="1" applyBorder="1"/>
    <xf numFmtId="165" fontId="0" fillId="0" borderId="0" xfId="3" applyNumberFormat="1" applyFont="1" applyBorder="1"/>
    <xf numFmtId="44" fontId="0" fillId="2" borderId="14" xfId="0" applyNumberFormat="1" applyFill="1" applyBorder="1"/>
    <xf numFmtId="165" fontId="0" fillId="0" borderId="14" xfId="3" applyNumberFormat="1" applyFont="1" applyBorder="1"/>
    <xf numFmtId="0" fontId="2" fillId="0" borderId="49" xfId="0" applyFont="1" applyBorder="1"/>
    <xf numFmtId="164" fontId="2" fillId="2" borderId="50" xfId="2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4" fontId="3" fillId="4" borderId="28" xfId="2" applyNumberFormat="1" applyFont="1" applyFill="1" applyBorder="1" applyAlignment="1">
      <alignment horizontal="left" vertical="center"/>
    </xf>
    <xf numFmtId="164" fontId="3" fillId="4" borderId="30" xfId="2" applyNumberFormat="1" applyFont="1" applyFill="1" applyBorder="1" applyAlignment="1">
      <alignment horizontal="left" vertical="center"/>
    </xf>
    <xf numFmtId="164" fontId="3" fillId="4" borderId="3" xfId="2" applyNumberFormat="1" applyFont="1" applyFill="1" applyBorder="1" applyAlignment="1">
      <alignment horizontal="left" vertical="center"/>
    </xf>
    <xf numFmtId="164" fontId="3" fillId="4" borderId="29" xfId="2" applyNumberFormat="1" applyFont="1" applyFill="1" applyBorder="1" applyAlignment="1">
      <alignment horizontal="left" vertical="center"/>
    </xf>
    <xf numFmtId="164" fontId="0" fillId="0" borderId="35" xfId="2" applyNumberFormat="1" applyFont="1" applyFill="1" applyBorder="1" applyAlignment="1">
      <alignment horizontal="left" vertical="center"/>
    </xf>
    <xf numFmtId="164" fontId="0" fillId="0" borderId="34" xfId="2" applyNumberFormat="1" applyFont="1" applyFill="1" applyBorder="1" applyAlignment="1">
      <alignment horizontal="left" vertical="center"/>
    </xf>
    <xf numFmtId="0" fontId="9" fillId="0" borderId="0" xfId="0" applyFont="1"/>
    <xf numFmtId="0" fontId="2" fillId="2" borderId="48" xfId="0" applyFont="1" applyFill="1" applyBorder="1" applyAlignment="1">
      <alignment horizontal="center"/>
    </xf>
    <xf numFmtId="164" fontId="0" fillId="2" borderId="37" xfId="2" applyNumberFormat="1" applyFont="1" applyFill="1" applyBorder="1" applyAlignment="1">
      <alignment horizontal="left" vertical="center"/>
    </xf>
    <xf numFmtId="164" fontId="0" fillId="2" borderId="8" xfId="2" applyNumberFormat="1" applyFont="1" applyFill="1" applyBorder="1" applyAlignment="1">
      <alignment horizontal="left" vertical="center"/>
    </xf>
    <xf numFmtId="164" fontId="0" fillId="0" borderId="36" xfId="2" applyNumberFormat="1" applyFont="1" applyFill="1" applyBorder="1" applyAlignment="1">
      <alignment horizontal="left" vertical="center"/>
    </xf>
    <xf numFmtId="164" fontId="0" fillId="0" borderId="32" xfId="2" applyNumberFormat="1" applyFont="1" applyFill="1" applyBorder="1" applyAlignment="1">
      <alignment horizontal="left" vertical="center"/>
    </xf>
    <xf numFmtId="164" fontId="0" fillId="2" borderId="15" xfId="2" applyNumberFormat="1" applyFont="1" applyFill="1" applyBorder="1" applyAlignment="1">
      <alignment horizontal="left" vertical="center"/>
    </xf>
    <xf numFmtId="164" fontId="0" fillId="0" borderId="52" xfId="2" applyNumberFormat="1" applyFont="1" applyFill="1" applyBorder="1" applyAlignment="1">
      <alignment horizontal="left" vertical="center"/>
    </xf>
    <xf numFmtId="164" fontId="0" fillId="0" borderId="43" xfId="2" applyNumberFormat="1" applyFont="1" applyFill="1" applyBorder="1" applyAlignment="1">
      <alignment horizontal="left" vertical="center"/>
    </xf>
    <xf numFmtId="164" fontId="0" fillId="0" borderId="53" xfId="2" applyNumberFormat="1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25" xfId="0" applyBorder="1"/>
    <xf numFmtId="0" fontId="0" fillId="5" borderId="25" xfId="0" applyFill="1" applyBorder="1"/>
    <xf numFmtId="0" fontId="0" fillId="6" borderId="25" xfId="0" applyFill="1" applyBorder="1"/>
    <xf numFmtId="0" fontId="0" fillId="7" borderId="25" xfId="0" applyFill="1" applyBorder="1"/>
    <xf numFmtId="0" fontId="0" fillId="8" borderId="25" xfId="0" applyFill="1" applyBorder="1"/>
    <xf numFmtId="0" fontId="0" fillId="9" borderId="25" xfId="0" applyFill="1" applyBorder="1"/>
    <xf numFmtId="0" fontId="0" fillId="10" borderId="25" xfId="0" applyFill="1" applyBorder="1"/>
    <xf numFmtId="0" fontId="0" fillId="11" borderId="25" xfId="0" applyFill="1" applyBorder="1"/>
    <xf numFmtId="0" fontId="0" fillId="13" borderId="25" xfId="0" applyFill="1" applyBorder="1"/>
    <xf numFmtId="0" fontId="0" fillId="14" borderId="25" xfId="0" applyFill="1" applyBorder="1"/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3" xfId="0" applyBorder="1"/>
    <xf numFmtId="0" fontId="0" fillId="0" borderId="21" xfId="0" applyBorder="1"/>
    <xf numFmtId="6" fontId="0" fillId="5" borderId="25" xfId="0" applyNumberFormat="1" applyFill="1" applyBorder="1"/>
    <xf numFmtId="6" fontId="0" fillId="7" borderId="25" xfId="0" applyNumberFormat="1" applyFill="1" applyBorder="1"/>
    <xf numFmtId="6" fontId="0" fillId="6" borderId="25" xfId="0" applyNumberFormat="1" applyFill="1" applyBorder="1"/>
    <xf numFmtId="6" fontId="0" fillId="8" borderId="25" xfId="0" applyNumberFormat="1" applyFill="1" applyBorder="1"/>
    <xf numFmtId="6" fontId="0" fillId="9" borderId="25" xfId="0" applyNumberFormat="1" applyFill="1" applyBorder="1"/>
    <xf numFmtId="6" fontId="0" fillId="10" borderId="25" xfId="0" applyNumberFormat="1" applyFill="1" applyBorder="1"/>
    <xf numFmtId="6" fontId="0" fillId="11" borderId="25" xfId="0" applyNumberFormat="1" applyFill="1" applyBorder="1"/>
    <xf numFmtId="6" fontId="0" fillId="13" borderId="25" xfId="0" applyNumberFormat="1" applyFill="1" applyBorder="1"/>
    <xf numFmtId="6" fontId="0" fillId="14" borderId="25" xfId="0" applyNumberFormat="1" applyFill="1" applyBorder="1"/>
    <xf numFmtId="0" fontId="0" fillId="0" borderId="40" xfId="0" applyBorder="1" applyAlignment="1">
      <alignment horizontal="center"/>
    </xf>
    <xf numFmtId="0" fontId="0" fillId="0" borderId="54" xfId="0" applyBorder="1"/>
    <xf numFmtId="0" fontId="0" fillId="11" borderId="26" xfId="0" applyFill="1" applyBorder="1"/>
    <xf numFmtId="6" fontId="0" fillId="11" borderId="26" xfId="0" applyNumberFormat="1" applyFill="1" applyBorder="1"/>
    <xf numFmtId="0" fontId="0" fillId="12" borderId="26" xfId="0" applyFill="1" applyBorder="1"/>
    <xf numFmtId="6" fontId="0" fillId="12" borderId="26" xfId="0" applyNumberFormat="1" applyFill="1" applyBorder="1"/>
    <xf numFmtId="0" fontId="0" fillId="0" borderId="5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38" xfId="0" applyFill="1" applyBorder="1"/>
    <xf numFmtId="0" fontId="0" fillId="12" borderId="32" xfId="0" applyFill="1" applyBorder="1"/>
    <xf numFmtId="6" fontId="0" fillId="5" borderId="38" xfId="0" applyNumberFormat="1" applyFill="1" applyBorder="1"/>
    <xf numFmtId="6" fontId="0" fillId="6" borderId="0" xfId="0" applyNumberFormat="1" applyFill="1"/>
    <xf numFmtId="6" fontId="0" fillId="12" borderId="32" xfId="0" applyNumberFormat="1" applyFill="1" applyBorder="1"/>
    <xf numFmtId="0" fontId="0" fillId="0" borderId="38" xfId="0" applyBorder="1"/>
    <xf numFmtId="0" fontId="0" fillId="0" borderId="32" xfId="0" applyBorder="1"/>
    <xf numFmtId="6" fontId="0" fillId="9" borderId="0" xfId="0" applyNumberFormat="1" applyFill="1"/>
    <xf numFmtId="0" fontId="0" fillId="10" borderId="32" xfId="0" applyFill="1" applyBorder="1"/>
    <xf numFmtId="6" fontId="0" fillId="10" borderId="32" xfId="0" applyNumberFormat="1" applyFill="1" applyBorder="1"/>
    <xf numFmtId="0" fontId="0" fillId="0" borderId="56" xfId="0" applyBorder="1"/>
    <xf numFmtId="0" fontId="0" fillId="0" borderId="43" xfId="0" applyBorder="1"/>
    <xf numFmtId="0" fontId="0" fillId="0" borderId="53" xfId="0" applyBorder="1"/>
    <xf numFmtId="0" fontId="0" fillId="9" borderId="32" xfId="0" applyFill="1" applyBorder="1"/>
    <xf numFmtId="0" fontId="0" fillId="0" borderId="22" xfId="0" applyBorder="1" applyAlignment="1">
      <alignment horizontal="center"/>
    </xf>
    <xf numFmtId="0" fontId="0" fillId="0" borderId="32" xfId="0" applyBorder="1" applyAlignment="1">
      <alignment horizontal="right"/>
    </xf>
    <xf numFmtId="0" fontId="0" fillId="5" borderId="32" xfId="0" applyFill="1" applyBorder="1"/>
    <xf numFmtId="0" fontId="0" fillId="7" borderId="32" xfId="0" applyFill="1" applyBorder="1"/>
    <xf numFmtId="0" fontId="0" fillId="13" borderId="32" xfId="0" applyFill="1" applyBorder="1"/>
    <xf numFmtId="164" fontId="3" fillId="0" borderId="0" xfId="2" applyNumberFormat="1" applyFont="1"/>
    <xf numFmtId="164" fontId="0" fillId="0" borderId="0" xfId="2" applyNumberFormat="1" applyFont="1" applyAlignment="1">
      <alignment horizontal="left"/>
    </xf>
    <xf numFmtId="9" fontId="0" fillId="0" borderId="0" xfId="0" applyNumberFormat="1"/>
    <xf numFmtId="10" fontId="0" fillId="0" borderId="0" xfId="3" applyNumberFormat="1" applyFont="1"/>
    <xf numFmtId="44" fontId="0" fillId="0" borderId="0" xfId="2" applyFont="1"/>
    <xf numFmtId="166" fontId="0" fillId="0" borderId="0" xfId="2" applyNumberFormat="1" applyFont="1"/>
    <xf numFmtId="0" fontId="3" fillId="0" borderId="0" xfId="0" applyFont="1" applyAlignment="1">
      <alignment horizontal="center" vertical="center"/>
    </xf>
    <xf numFmtId="6" fontId="0" fillId="0" borderId="0" xfId="0" applyNumberFormat="1"/>
    <xf numFmtId="15" fontId="0" fillId="0" borderId="0" xfId="0" applyNumberFormat="1"/>
    <xf numFmtId="6" fontId="0" fillId="0" borderId="25" xfId="0" applyNumberFormat="1" applyBorder="1"/>
    <xf numFmtId="0" fontId="8" fillId="0" borderId="0" xfId="0" applyFont="1"/>
    <xf numFmtId="10" fontId="8" fillId="0" borderId="0" xfId="3" applyNumberFormat="1" applyFont="1"/>
    <xf numFmtId="0" fontId="0" fillId="0" borderId="57" xfId="0" applyBorder="1"/>
    <xf numFmtId="9" fontId="0" fillId="0" borderId="44" xfId="0" applyNumberFormat="1" applyBorder="1"/>
    <xf numFmtId="44" fontId="0" fillId="0" borderId="44" xfId="0" applyNumberFormat="1" applyBorder="1"/>
    <xf numFmtId="9" fontId="0" fillId="0" borderId="44" xfId="3" applyFont="1" applyBorder="1"/>
    <xf numFmtId="44" fontId="0" fillId="0" borderId="35" xfId="0" applyNumberFormat="1" applyBorder="1"/>
    <xf numFmtId="9" fontId="8" fillId="0" borderId="0" xfId="3" applyFont="1" applyBorder="1"/>
    <xf numFmtId="9" fontId="8" fillId="0" borderId="26" xfId="3" applyFont="1" applyBorder="1"/>
    <xf numFmtId="9" fontId="0" fillId="0" borderId="0" xfId="3" applyFont="1" applyBorder="1"/>
    <xf numFmtId="44" fontId="0" fillId="0" borderId="26" xfId="0" applyNumberFormat="1" applyBorder="1"/>
    <xf numFmtId="9" fontId="0" fillId="0" borderId="9" xfId="0" applyNumberFormat="1" applyBorder="1"/>
    <xf numFmtId="44" fontId="0" fillId="0" borderId="9" xfId="0" applyNumberFormat="1" applyBorder="1"/>
    <xf numFmtId="9" fontId="0" fillId="0" borderId="9" xfId="3" applyFont="1" applyBorder="1"/>
    <xf numFmtId="9" fontId="8" fillId="0" borderId="9" xfId="3" applyFont="1" applyBorder="1"/>
    <xf numFmtId="9" fontId="8" fillId="0" borderId="21" xfId="3" applyFont="1" applyBorder="1"/>
    <xf numFmtId="0" fontId="8" fillId="0" borderId="45" xfId="0" applyFont="1" applyBorder="1"/>
    <xf numFmtId="10" fontId="8" fillId="0" borderId="0" xfId="3" applyNumberFormat="1" applyFont="1" applyBorder="1"/>
    <xf numFmtId="10" fontId="8" fillId="0" borderId="26" xfId="3" applyNumberFormat="1" applyFont="1" applyBorder="1"/>
    <xf numFmtId="0" fontId="8" fillId="0" borderId="54" xfId="0" applyFont="1" applyBorder="1"/>
    <xf numFmtId="0" fontId="8" fillId="0" borderId="9" xfId="0" applyFont="1" applyBorder="1"/>
    <xf numFmtId="10" fontId="8" fillId="0" borderId="9" xfId="3" applyNumberFormat="1" applyFont="1" applyBorder="1"/>
    <xf numFmtId="10" fontId="8" fillId="0" borderId="21" xfId="3" applyNumberFormat="1" applyFont="1" applyBorder="1"/>
    <xf numFmtId="164" fontId="0" fillId="0" borderId="37" xfId="2" applyNumberFormat="1" applyFont="1" applyFill="1" applyBorder="1" applyAlignment="1">
      <alignment horizontal="left" vertical="center"/>
    </xf>
    <xf numFmtId="164" fontId="14" fillId="0" borderId="26" xfId="2" applyNumberFormat="1" applyFont="1" applyFill="1" applyBorder="1" applyAlignment="1">
      <alignment horizontal="left" vertical="center"/>
    </xf>
    <xf numFmtId="164" fontId="14" fillId="0" borderId="25" xfId="2" applyNumberFormat="1" applyFont="1" applyFill="1" applyBorder="1" applyAlignment="1">
      <alignment horizontal="left" vertical="center"/>
    </xf>
    <xf numFmtId="164" fontId="14" fillId="0" borderId="8" xfId="2" applyNumberFormat="1" applyFont="1" applyFill="1" applyBorder="1" applyAlignment="1">
      <alignment horizontal="left" vertical="center"/>
    </xf>
    <xf numFmtId="0" fontId="0" fillId="0" borderId="59" xfId="0" applyBorder="1"/>
    <xf numFmtId="0" fontId="0" fillId="2" borderId="0" xfId="0" applyFill="1"/>
    <xf numFmtId="0" fontId="0" fillId="3" borderId="0" xfId="0" applyFill="1"/>
    <xf numFmtId="166" fontId="0" fillId="2" borderId="0" xfId="2" applyNumberFormat="1" applyFont="1" applyFill="1" applyBorder="1"/>
    <xf numFmtId="165" fontId="0" fillId="3" borderId="0" xfId="3" applyNumberFormat="1" applyFont="1" applyFill="1" applyBorder="1"/>
    <xf numFmtId="164" fontId="0" fillId="3" borderId="0" xfId="2" applyNumberFormat="1" applyFont="1" applyFill="1" applyBorder="1"/>
    <xf numFmtId="165" fontId="0" fillId="2" borderId="0" xfId="0" applyNumberFormat="1" applyFill="1"/>
    <xf numFmtId="165" fontId="0" fillId="3" borderId="0" xfId="0" applyNumberFormat="1" applyFill="1"/>
    <xf numFmtId="44" fontId="0" fillId="2" borderId="0" xfId="0" applyNumberFormat="1" applyFill="1"/>
    <xf numFmtId="0" fontId="0" fillId="0" borderId="60" xfId="0" applyBorder="1"/>
    <xf numFmtId="0" fontId="12" fillId="0" borderId="61" xfId="0" applyFont="1" applyBorder="1"/>
    <xf numFmtId="0" fontId="4" fillId="4" borderId="62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4" borderId="28" xfId="0" applyFont="1" applyFill="1" applyBorder="1" applyAlignment="1">
      <alignment horizontal="left" vertical="center"/>
    </xf>
    <xf numFmtId="0" fontId="3" fillId="0" borderId="4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4" borderId="54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5" fillId="4" borderId="62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164" fontId="3" fillId="4" borderId="27" xfId="2" applyNumberFormat="1" applyFont="1" applyFill="1" applyBorder="1" applyAlignment="1">
      <alignment horizontal="left" vertical="center"/>
    </xf>
    <xf numFmtId="164" fontId="3" fillId="4" borderId="63" xfId="2" applyNumberFormat="1" applyFont="1" applyFill="1" applyBorder="1" applyAlignment="1">
      <alignment horizontal="left" vertical="center"/>
    </xf>
    <xf numFmtId="164" fontId="3" fillId="4" borderId="64" xfId="2" applyNumberFormat="1" applyFont="1" applyFill="1" applyBorder="1" applyAlignment="1">
      <alignment horizontal="left" vertical="center"/>
    </xf>
    <xf numFmtId="164" fontId="0" fillId="0" borderId="31" xfId="2" applyNumberFormat="1" applyFont="1" applyBorder="1" applyAlignment="1">
      <alignment horizontal="left" vertical="center"/>
    </xf>
    <xf numFmtId="164" fontId="0" fillId="0" borderId="45" xfId="2" applyNumberFormat="1" applyFont="1" applyBorder="1" applyAlignment="1">
      <alignment horizontal="left" vertical="center"/>
    </xf>
    <xf numFmtId="0" fontId="15" fillId="0" borderId="58" xfId="0" applyFont="1" applyBorder="1" applyAlignment="1">
      <alignment horizontal="right"/>
    </xf>
    <xf numFmtId="169" fontId="0" fillId="3" borderId="0" xfId="2" applyNumberFormat="1" applyFont="1" applyFill="1" applyBorder="1"/>
    <xf numFmtId="0" fontId="3" fillId="0" borderId="5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4" fontId="0" fillId="0" borderId="0" xfId="2" applyFont="1" applyBorder="1"/>
    <xf numFmtId="44" fontId="0" fillId="0" borderId="26" xfId="2" applyFont="1" applyBorder="1"/>
    <xf numFmtId="166" fontId="0" fillId="0" borderId="0" xfId="2" applyNumberFormat="1" applyFont="1" applyBorder="1"/>
    <xf numFmtId="166" fontId="0" fillId="0" borderId="26" xfId="2" applyNumberFormat="1" applyFont="1" applyBorder="1"/>
    <xf numFmtId="10" fontId="0" fillId="0" borderId="0" xfId="3" applyNumberFormat="1" applyFont="1" applyBorder="1"/>
    <xf numFmtId="10" fontId="0" fillId="0" borderId="26" xfId="3" applyNumberFormat="1" applyFont="1" applyBorder="1"/>
    <xf numFmtId="0" fontId="3" fillId="5" borderId="3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0" fillId="5" borderId="8" xfId="0" applyFill="1" applyBorder="1"/>
    <xf numFmtId="44" fontId="0" fillId="5" borderId="8" xfId="2" applyFont="1" applyFill="1" applyBorder="1"/>
    <xf numFmtId="166" fontId="0" fillId="5" borderId="8" xfId="2" applyNumberFormat="1" applyFont="1" applyFill="1" applyBorder="1"/>
    <xf numFmtId="10" fontId="0" fillId="5" borderId="8" xfId="3" applyNumberFormat="1" applyFont="1" applyFill="1" applyBorder="1"/>
    <xf numFmtId="0" fontId="0" fillId="5" borderId="11" xfId="0" applyFill="1" applyBorder="1"/>
    <xf numFmtId="44" fontId="0" fillId="5" borderId="37" xfId="0" applyNumberFormat="1" applyFill="1" applyBorder="1"/>
    <xf numFmtId="9" fontId="8" fillId="5" borderId="8" xfId="3" applyFont="1" applyFill="1" applyBorder="1"/>
    <xf numFmtId="44" fontId="0" fillId="5" borderId="8" xfId="0" applyNumberFormat="1" applyFill="1" applyBorder="1"/>
    <xf numFmtId="9" fontId="8" fillId="5" borderId="11" xfId="3" applyFont="1" applyFill="1" applyBorder="1"/>
    <xf numFmtId="10" fontId="8" fillId="5" borderId="8" xfId="3" applyNumberFormat="1" applyFont="1" applyFill="1" applyBorder="1"/>
    <xf numFmtId="10" fontId="8" fillId="5" borderId="15" xfId="3" applyNumberFormat="1" applyFont="1" applyFill="1" applyBorder="1"/>
    <xf numFmtId="168" fontId="0" fillId="3" borderId="11" xfId="2" applyNumberFormat="1" applyFont="1" applyFill="1" applyBorder="1" applyAlignment="1">
      <alignment horizontal="left" vertical="center"/>
    </xf>
    <xf numFmtId="0" fontId="16" fillId="0" borderId="0" xfId="0" applyFont="1"/>
    <xf numFmtId="164" fontId="0" fillId="3" borderId="0" xfId="2" applyNumberFormat="1" applyFont="1" applyFill="1"/>
    <xf numFmtId="164" fontId="3" fillId="4" borderId="65" xfId="2" applyNumberFormat="1" applyFont="1" applyFill="1" applyBorder="1" applyAlignment="1">
      <alignment horizontal="left" vertical="center"/>
    </xf>
    <xf numFmtId="164" fontId="0" fillId="3" borderId="8" xfId="2" applyNumberFormat="1" applyFont="1" applyFill="1" applyBorder="1" applyAlignment="1">
      <alignment horizontal="left" vertical="center"/>
    </xf>
    <xf numFmtId="164" fontId="0" fillId="3" borderId="26" xfId="2" applyNumberFormat="1" applyFont="1" applyFill="1" applyBorder="1" applyAlignment="1">
      <alignment horizontal="left" vertical="center"/>
    </xf>
    <xf numFmtId="164" fontId="0" fillId="3" borderId="25" xfId="2" applyNumberFormat="1" applyFont="1" applyFill="1" applyBorder="1" applyAlignment="1">
      <alignment horizontal="left" vertical="center"/>
    </xf>
    <xf numFmtId="164" fontId="3" fillId="4" borderId="11" xfId="0" applyNumberFormat="1" applyFont="1" applyFill="1" applyBorder="1" applyAlignment="1">
      <alignment horizontal="center" vertical="center"/>
    </xf>
    <xf numFmtId="44" fontId="0" fillId="3" borderId="0" xfId="2" applyFont="1" applyFill="1" applyBorder="1"/>
    <xf numFmtId="44" fontId="0" fillId="0" borderId="8" xfId="2" applyFont="1" applyBorder="1"/>
    <xf numFmtId="0" fontId="2" fillId="0" borderId="39" xfId="0" applyFont="1" applyBorder="1" applyAlignment="1">
      <alignment horizontal="center"/>
    </xf>
    <xf numFmtId="0" fontId="0" fillId="3" borderId="31" xfId="0" applyFill="1" applyBorder="1"/>
    <xf numFmtId="0" fontId="0" fillId="3" borderId="20" xfId="0" applyFill="1" applyBorder="1"/>
    <xf numFmtId="164" fontId="0" fillId="0" borderId="31" xfId="2" applyNumberFormat="1" applyFont="1" applyBorder="1"/>
    <xf numFmtId="44" fontId="0" fillId="0" borderId="31" xfId="2" applyFont="1" applyFill="1" applyBorder="1"/>
    <xf numFmtId="169" fontId="0" fillId="0" borderId="31" xfId="2" applyNumberFormat="1" applyFont="1" applyFill="1" applyBorder="1"/>
    <xf numFmtId="165" fontId="0" fillId="3" borderId="31" xfId="3" applyNumberFormat="1" applyFont="1" applyFill="1" applyBorder="1"/>
    <xf numFmtId="167" fontId="0" fillId="0" borderId="20" xfId="1" applyNumberFormat="1" applyFont="1" applyFill="1" applyBorder="1"/>
    <xf numFmtId="44" fontId="0" fillId="0" borderId="31" xfId="2" applyFont="1" applyBorder="1"/>
    <xf numFmtId="164" fontId="0" fillId="3" borderId="31" xfId="2" applyNumberFormat="1" applyFont="1" applyFill="1" applyBorder="1"/>
    <xf numFmtId="165" fontId="0" fillId="3" borderId="31" xfId="0" applyNumberFormat="1" applyFill="1" applyBorder="1"/>
    <xf numFmtId="9" fontId="0" fillId="0" borderId="20" xfId="0" applyNumberFormat="1" applyBorder="1"/>
    <xf numFmtId="44" fontId="0" fillId="0" borderId="12" xfId="0" applyNumberFormat="1" applyBorder="1"/>
    <xf numFmtId="165" fontId="0" fillId="0" borderId="31" xfId="3" applyNumberFormat="1" applyFont="1" applyBorder="1"/>
    <xf numFmtId="44" fontId="0" fillId="0" borderId="31" xfId="0" applyNumberFormat="1" applyBorder="1"/>
    <xf numFmtId="165" fontId="0" fillId="0" borderId="13" xfId="3" applyNumberFormat="1" applyFont="1" applyBorder="1"/>
    <xf numFmtId="0" fontId="2" fillId="0" borderId="49" xfId="0" applyFont="1" applyBorder="1" applyAlignment="1">
      <alignment horizontal="center"/>
    </xf>
    <xf numFmtId="0" fontId="3" fillId="4" borderId="66" xfId="0" applyFont="1" applyFill="1" applyBorder="1" applyAlignment="1">
      <alignment horizontal="center" vertical="center"/>
    </xf>
    <xf numFmtId="164" fontId="0" fillId="0" borderId="20" xfId="2" applyNumberFormat="1" applyFont="1" applyBorder="1" applyAlignment="1">
      <alignment horizontal="left" vertical="center"/>
    </xf>
    <xf numFmtId="164" fontId="0" fillId="3" borderId="20" xfId="2" applyNumberFormat="1" applyFont="1" applyFill="1" applyBorder="1" applyAlignment="1">
      <alignment horizontal="left" vertical="center"/>
    </xf>
    <xf numFmtId="164" fontId="0" fillId="0" borderId="20" xfId="2" applyNumberFormat="1" applyFont="1" applyFill="1" applyBorder="1" applyAlignment="1">
      <alignment horizontal="left" vertical="center"/>
    </xf>
    <xf numFmtId="168" fontId="0" fillId="3" borderId="20" xfId="2" applyNumberFormat="1" applyFont="1" applyFill="1" applyBorder="1" applyAlignment="1">
      <alignment horizontal="left" vertical="center"/>
    </xf>
    <xf numFmtId="164" fontId="3" fillId="0" borderId="20" xfId="2" applyNumberFormat="1" applyFont="1" applyBorder="1" applyAlignment="1">
      <alignment horizontal="left" vertical="center"/>
    </xf>
    <xf numFmtId="164" fontId="3" fillId="4" borderId="39" xfId="2" applyNumberFormat="1" applyFont="1" applyFill="1" applyBorder="1" applyAlignment="1">
      <alignment horizontal="left" vertical="center"/>
    </xf>
    <xf numFmtId="164" fontId="0" fillId="3" borderId="31" xfId="2" applyNumberFormat="1" applyFont="1" applyFill="1" applyBorder="1" applyAlignment="1">
      <alignment horizontal="left" vertical="center"/>
    </xf>
    <xf numFmtId="164" fontId="0" fillId="0" borderId="31" xfId="2" applyNumberFormat="1" applyFont="1" applyFill="1" applyBorder="1" applyAlignment="1">
      <alignment horizontal="left" vertical="center"/>
    </xf>
    <xf numFmtId="164" fontId="0" fillId="0" borderId="33" xfId="2" applyNumberFormat="1" applyFont="1" applyFill="1" applyBorder="1" applyAlignment="1">
      <alignment horizontal="left" vertical="center"/>
    </xf>
    <xf numFmtId="164" fontId="14" fillId="0" borderId="31" xfId="2" applyNumberFormat="1" applyFont="1" applyFill="1" applyBorder="1" applyAlignment="1">
      <alignment horizontal="left" vertical="center"/>
    </xf>
    <xf numFmtId="164" fontId="3" fillId="0" borderId="39" xfId="2" applyNumberFormat="1" applyFont="1" applyBorder="1" applyAlignment="1">
      <alignment horizontal="left" vertical="center"/>
    </xf>
    <xf numFmtId="164" fontId="3" fillId="4" borderId="66" xfId="2" applyNumberFormat="1" applyFont="1" applyFill="1" applyBorder="1" applyAlignment="1">
      <alignment horizontal="left" vertical="center"/>
    </xf>
    <xf numFmtId="164" fontId="3" fillId="0" borderId="33" xfId="2" applyNumberFormat="1" applyFont="1" applyBorder="1" applyAlignment="1">
      <alignment horizontal="left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0" fillId="2" borderId="9" xfId="2" applyNumberFormat="1" applyFont="1" applyFill="1" applyBorder="1" applyAlignment="1">
      <alignment horizontal="left" vertical="center"/>
    </xf>
    <xf numFmtId="164" fontId="0" fillId="0" borderId="33" xfId="2" applyNumberFormat="1" applyFont="1" applyBorder="1" applyAlignment="1">
      <alignment horizontal="left" vertical="center"/>
    </xf>
    <xf numFmtId="168" fontId="0" fillId="0" borderId="21" xfId="2" applyNumberFormat="1" applyFont="1" applyBorder="1" applyAlignment="1">
      <alignment horizontal="left" vertical="center"/>
    </xf>
    <xf numFmtId="168" fontId="0" fillId="0" borderId="21" xfId="2" applyNumberFormat="1" applyFont="1" applyFill="1" applyBorder="1" applyAlignment="1">
      <alignment horizontal="left" vertical="center"/>
    </xf>
    <xf numFmtId="164" fontId="0" fillId="0" borderId="0" xfId="2" applyNumberFormat="1" applyFont="1" applyBorder="1" applyAlignment="1">
      <alignment horizontal="left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67" xfId="2" applyNumberFormat="1" applyFont="1" applyFill="1" applyBorder="1" applyAlignment="1">
      <alignment horizontal="left" vertical="center"/>
    </xf>
    <xf numFmtId="44" fontId="0" fillId="3" borderId="8" xfId="2" applyFont="1" applyFill="1" applyBorder="1"/>
    <xf numFmtId="169" fontId="0" fillId="3" borderId="8" xfId="2" applyNumberFormat="1" applyFont="1" applyFill="1" applyBorder="1"/>
    <xf numFmtId="9" fontId="0" fillId="3" borderId="11" xfId="0" applyNumberFormat="1" applyFill="1" applyBorder="1"/>
    <xf numFmtId="0" fontId="3" fillId="0" borderId="8" xfId="0" applyFont="1" applyBorder="1" applyAlignment="1">
      <alignment vertical="center"/>
    </xf>
    <xf numFmtId="164" fontId="0" fillId="2" borderId="11" xfId="2" applyNumberFormat="1" applyFont="1" applyFill="1" applyBorder="1" applyAlignment="1">
      <alignment horizontal="left" vertical="center"/>
    </xf>
    <xf numFmtId="164" fontId="3" fillId="0" borderId="8" xfId="2" applyNumberFormat="1" applyFont="1" applyBorder="1" applyAlignment="1">
      <alignment horizontal="left" vertical="center"/>
    </xf>
    <xf numFmtId="0" fontId="0" fillId="0" borderId="37" xfId="0" applyBorder="1"/>
    <xf numFmtId="164" fontId="0" fillId="0" borderId="6" xfId="0" applyNumberFormat="1" applyBorder="1"/>
    <xf numFmtId="164" fontId="0" fillId="0" borderId="15" xfId="0" applyNumberFormat="1" applyBorder="1"/>
    <xf numFmtId="164" fontId="0" fillId="0" borderId="11" xfId="0" applyNumberFormat="1" applyBorder="1"/>
    <xf numFmtId="164" fontId="3" fillId="0" borderId="68" xfId="0" applyNumberFormat="1" applyFont="1" applyBorder="1"/>
    <xf numFmtId="164" fontId="0" fillId="0" borderId="8" xfId="0" applyNumberFormat="1" applyBorder="1"/>
    <xf numFmtId="164" fontId="3" fillId="0" borderId="11" xfId="0" applyNumberFormat="1" applyFont="1" applyBorder="1"/>
    <xf numFmtId="164" fontId="0" fillId="0" borderId="3" xfId="0" applyNumberFormat="1" applyBorder="1"/>
    <xf numFmtId="0" fontId="3" fillId="4" borderId="62" xfId="0" applyFont="1" applyFill="1" applyBorder="1" applyAlignment="1">
      <alignment horizontal="center" vertical="center"/>
    </xf>
    <xf numFmtId="168" fontId="0" fillId="0" borderId="54" xfId="2" applyNumberFormat="1" applyFont="1" applyBorder="1" applyAlignment="1">
      <alignment horizontal="left" vertical="center"/>
    </xf>
    <xf numFmtId="164" fontId="0" fillId="0" borderId="54" xfId="2" applyNumberFormat="1" applyFont="1" applyBorder="1" applyAlignment="1">
      <alignment horizontal="left" vertical="center"/>
    </xf>
    <xf numFmtId="168" fontId="0" fillId="0" borderId="54" xfId="2" applyNumberFormat="1" applyFont="1" applyFill="1" applyBorder="1" applyAlignment="1">
      <alignment horizontal="left" vertical="center"/>
    </xf>
    <xf numFmtId="164" fontId="0" fillId="0" borderId="9" xfId="2" applyNumberFormat="1" applyFont="1" applyFill="1" applyBorder="1" applyAlignment="1">
      <alignment horizontal="left" vertical="center"/>
    </xf>
    <xf numFmtId="164" fontId="0" fillId="3" borderId="45" xfId="2" applyNumberFormat="1" applyFont="1" applyFill="1" applyBorder="1" applyAlignment="1">
      <alignment horizontal="left" vertical="center"/>
    </xf>
    <xf numFmtId="164" fontId="0" fillId="0" borderId="0" xfId="2" applyNumberFormat="1" applyFont="1" applyFill="1" applyBorder="1" applyAlignment="1">
      <alignment horizontal="left" vertical="center"/>
    </xf>
    <xf numFmtId="164" fontId="0" fillId="0" borderId="57" xfId="2" applyNumberFormat="1" applyFont="1" applyFill="1" applyBorder="1" applyAlignment="1">
      <alignment horizontal="left" vertical="center"/>
    </xf>
    <xf numFmtId="164" fontId="0" fillId="0" borderId="45" xfId="2" applyNumberFormat="1" applyFont="1" applyFill="1" applyBorder="1" applyAlignment="1">
      <alignment horizontal="left" vertical="center"/>
    </xf>
    <xf numFmtId="164" fontId="3" fillId="0" borderId="58" xfId="2" applyNumberFormat="1" applyFont="1" applyBorder="1" applyAlignment="1">
      <alignment horizontal="left" vertical="center"/>
    </xf>
    <xf numFmtId="164" fontId="3" fillId="4" borderId="62" xfId="2" applyNumberFormat="1" applyFont="1" applyFill="1" applyBorder="1" applyAlignment="1">
      <alignment horizontal="left" vertical="center"/>
    </xf>
    <xf numFmtId="164" fontId="3" fillId="0" borderId="57" xfId="2" applyNumberFormat="1" applyFont="1" applyBorder="1" applyAlignment="1">
      <alignment horizontal="left" vertical="center"/>
    </xf>
    <xf numFmtId="164" fontId="0" fillId="0" borderId="57" xfId="2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0" fillId="0" borderId="24" xfId="0" applyBorder="1"/>
    <xf numFmtId="0" fontId="0" fillId="3" borderId="25" xfId="0" applyFill="1" applyBorder="1"/>
    <xf numFmtId="0" fontId="0" fillId="3" borderId="23" xfId="0" applyFill="1" applyBorder="1"/>
    <xf numFmtId="164" fontId="0" fillId="3" borderId="25" xfId="2" applyNumberFormat="1" applyFont="1" applyFill="1" applyBorder="1"/>
    <xf numFmtId="165" fontId="0" fillId="3" borderId="25" xfId="3" applyNumberFormat="1" applyFont="1" applyFill="1" applyBorder="1"/>
    <xf numFmtId="167" fontId="0" fillId="0" borderId="23" xfId="1" applyNumberFormat="1" applyFont="1" applyFill="1" applyBorder="1"/>
    <xf numFmtId="44" fontId="0" fillId="0" borderId="25" xfId="2" applyFont="1" applyBorder="1"/>
    <xf numFmtId="44" fontId="0" fillId="0" borderId="24" xfId="0" applyNumberFormat="1" applyBorder="1"/>
    <xf numFmtId="165" fontId="0" fillId="0" borderId="25" xfId="3" applyNumberFormat="1" applyFont="1" applyBorder="1"/>
    <xf numFmtId="44" fontId="0" fillId="0" borderId="25" xfId="0" applyNumberFormat="1" applyBorder="1"/>
    <xf numFmtId="165" fontId="0" fillId="0" borderId="43" xfId="3" applyNumberFormat="1" applyFont="1" applyBorder="1"/>
    <xf numFmtId="0" fontId="2" fillId="0" borderId="69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0" borderId="25" xfId="2" applyNumberFormat="1" applyFont="1" applyBorder="1" applyAlignment="1">
      <alignment horizontal="left" vertical="center"/>
    </xf>
    <xf numFmtId="0" fontId="0" fillId="0" borderId="34" xfId="0" applyBorder="1"/>
    <xf numFmtId="164" fontId="0" fillId="0" borderId="25" xfId="2" applyNumberFormat="1" applyFont="1" applyBorder="1"/>
    <xf numFmtId="164" fontId="0" fillId="0" borderId="24" xfId="0" applyNumberFormat="1" applyBorder="1"/>
    <xf numFmtId="164" fontId="0" fillId="0" borderId="23" xfId="0" applyNumberFormat="1" applyBorder="1"/>
    <xf numFmtId="164" fontId="3" fillId="0" borderId="70" xfId="0" applyNumberFormat="1" applyFont="1" applyBorder="1"/>
    <xf numFmtId="164" fontId="0" fillId="0" borderId="25" xfId="0" applyNumberFormat="1" applyBorder="1"/>
    <xf numFmtId="164" fontId="3" fillId="0" borderId="23" xfId="0" applyNumberFormat="1" applyFont="1" applyBorder="1"/>
    <xf numFmtId="164" fontId="0" fillId="0" borderId="28" xfId="0" applyNumberFormat="1" applyBorder="1"/>
    <xf numFmtId="164" fontId="3" fillId="0" borderId="23" xfId="2" applyNumberFormat="1" applyFont="1" applyBorder="1" applyAlignment="1">
      <alignment horizontal="left" vertical="center"/>
    </xf>
    <xf numFmtId="164" fontId="3" fillId="0" borderId="54" xfId="2" applyNumberFormat="1" applyFont="1" applyBorder="1" applyAlignment="1">
      <alignment horizontal="left" vertical="center"/>
    </xf>
    <xf numFmtId="164" fontId="3" fillId="4" borderId="58" xfId="2" applyNumberFormat="1" applyFont="1" applyFill="1" applyBorder="1" applyAlignment="1">
      <alignment horizontal="left" vertical="center"/>
    </xf>
    <xf numFmtId="164" fontId="0" fillId="2" borderId="0" xfId="2" applyNumberFormat="1" applyFont="1" applyFill="1" applyBorder="1" applyAlignment="1">
      <alignment horizontal="left" vertical="center"/>
    </xf>
    <xf numFmtId="9" fontId="0" fillId="0" borderId="8" xfId="0" applyNumberFormat="1" applyBorder="1"/>
    <xf numFmtId="165" fontId="0" fillId="3" borderId="9" xfId="0" applyNumberFormat="1" applyFill="1" applyBorder="1"/>
    <xf numFmtId="0" fontId="3" fillId="0" borderId="31" xfId="0" applyFont="1" applyBorder="1" applyAlignment="1">
      <alignment vertical="center"/>
    </xf>
    <xf numFmtId="164" fontId="0" fillId="2" borderId="0" xfId="2" applyNumberFormat="1" applyFont="1" applyFill="1" applyBorder="1" applyAlignment="1">
      <alignment vertical="center"/>
    </xf>
    <xf numFmtId="164" fontId="0" fillId="2" borderId="0" xfId="0" applyNumberFormat="1" applyFill="1"/>
    <xf numFmtId="0" fontId="3" fillId="0" borderId="13" xfId="0" applyFont="1" applyBorder="1" applyAlignment="1">
      <alignment vertical="center"/>
    </xf>
    <xf numFmtId="164" fontId="0" fillId="3" borderId="21" xfId="2" applyNumberFormat="1" applyFont="1" applyFill="1" applyBorder="1" applyAlignment="1">
      <alignment horizontal="left" vertical="center"/>
    </xf>
    <xf numFmtId="164" fontId="0" fillId="0" borderId="43" xfId="0" applyNumberFormat="1" applyBorder="1"/>
    <xf numFmtId="164" fontId="0" fillId="3" borderId="9" xfId="2" applyNumberFormat="1" applyFont="1" applyFill="1" applyBorder="1" applyAlignment="1">
      <alignment horizontal="left" vertical="center"/>
    </xf>
    <xf numFmtId="44" fontId="0" fillId="3" borderId="25" xfId="2" applyFont="1" applyFill="1" applyBorder="1"/>
    <xf numFmtId="169" fontId="0" fillId="3" borderId="25" xfId="2" applyNumberFormat="1" applyFont="1" applyFill="1" applyBorder="1"/>
    <xf numFmtId="165" fontId="0" fillId="3" borderId="25" xfId="0" applyNumberFormat="1" applyFill="1" applyBorder="1"/>
    <xf numFmtId="165" fontId="0" fillId="3" borderId="23" xfId="0" applyNumberFormat="1" applyFill="1" applyBorder="1"/>
    <xf numFmtId="9" fontId="0" fillId="0" borderId="25" xfId="0" applyNumberFormat="1" applyBorder="1"/>
    <xf numFmtId="164" fontId="0" fillId="3" borderId="23" xfId="2" applyNumberFormat="1" applyFont="1" applyFill="1" applyBorder="1" applyAlignment="1">
      <alignment horizontal="left" vertical="center"/>
    </xf>
    <xf numFmtId="164" fontId="0" fillId="0" borderId="25" xfId="2" applyNumberFormat="1" applyFont="1" applyFill="1" applyBorder="1"/>
    <xf numFmtId="164" fontId="0" fillId="2" borderId="25" xfId="0" applyNumberFormat="1" applyFill="1" applyBorder="1"/>
    <xf numFmtId="165" fontId="0" fillId="3" borderId="11" xfId="0" applyNumberFormat="1" applyFill="1" applyBorder="1"/>
    <xf numFmtId="168" fontId="0" fillId="0" borderId="11" xfId="2" applyNumberFormat="1" applyFont="1" applyFill="1" applyBorder="1" applyAlignment="1">
      <alignment horizontal="left" vertical="center"/>
    </xf>
    <xf numFmtId="168" fontId="0" fillId="0" borderId="11" xfId="2" applyNumberFormat="1" applyFont="1" applyBorder="1" applyAlignment="1">
      <alignment horizontal="left" vertical="center"/>
    </xf>
    <xf numFmtId="164" fontId="0" fillId="0" borderId="8" xfId="2" applyNumberFormat="1" applyFont="1" applyFill="1" applyBorder="1"/>
    <xf numFmtId="164" fontId="0" fillId="2" borderId="8" xfId="0" applyNumberFormat="1" applyFill="1" applyBorder="1"/>
    <xf numFmtId="9" fontId="3" fillId="0" borderId="0" xfId="3" applyFont="1" applyFill="1"/>
    <xf numFmtId="0" fontId="17" fillId="0" borderId="45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1109144</xdr:colOff>
      <xdr:row>30</xdr:row>
      <xdr:rowOff>73871</xdr:rowOff>
    </xdr:from>
    <xdr:to>
      <xdr:col>2</xdr:col>
      <xdr:colOff>1124624</xdr:colOff>
      <xdr:row>30</xdr:row>
      <xdr:rowOff>88991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2AE41ACC-B3A7-023F-81CF-94D8A3C09787}"/>
                </a:ext>
              </a:extLst>
            </xdr14:cNvPr>
            <xdr14:cNvContentPartPr/>
          </xdr14:nvContentPartPr>
          <xdr14:nvPr macro=""/>
          <xdr14:xfrm>
            <a:off x="3298969" y="2478240"/>
            <a:ext cx="15480" cy="151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2AE41ACC-B3A7-023F-81CF-94D8A3C0978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0329" y="2469240"/>
              <a:ext cx="33120" cy="32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384447</xdr:colOff>
      <xdr:row>55</xdr:row>
      <xdr:rowOff>51351</xdr:rowOff>
    </xdr:from>
    <xdr:to>
      <xdr:col>3</xdr:col>
      <xdr:colOff>384807</xdr:colOff>
      <xdr:row>55</xdr:row>
      <xdr:rowOff>51711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77275B7-3E15-6915-DD99-C7F353CDCDDB}"/>
                </a:ext>
              </a:extLst>
            </xdr14:cNvPr>
            <xdr14:cNvContentPartPr/>
          </xdr14:nvContentPartPr>
          <xdr14:nvPr macro=""/>
          <xdr14:xfrm>
            <a:off x="4645729" y="504504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77275B7-3E15-6915-DD99-C7F353CDCDD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637089" y="5036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22T01:04:00.6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1 41 24575</inkml:trace>
  <inkml:trace contextRef="#ctx0" brushRef="#br0" timeOffset="2693.66">43 0 24575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22T01:04:04.11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B55B-5EA5-425A-9B0B-C6E31DE45EFE}">
  <sheetPr>
    <pageSetUpPr fitToPage="1"/>
  </sheetPr>
  <dimension ref="A1:AU225"/>
  <sheetViews>
    <sheetView showGridLines="0" showRowColHeaders="0" tabSelected="1" topLeftCell="A2" zoomScale="65" zoomScaleNormal="100" workbookViewId="0">
      <pane xSplit="3" ySplit="2" topLeftCell="H4" activePane="bottomRight" state="frozen"/>
      <selection activeCell="A2" sqref="A2"/>
      <selection pane="topRight" activeCell="D2" sqref="D2"/>
      <selection pane="bottomLeft" activeCell="A4" sqref="A4"/>
      <selection pane="bottomRight" activeCell="AT208" sqref="AT208"/>
    </sheetView>
  </sheetViews>
  <sheetFormatPr defaultColWidth="9.08984375" defaultRowHeight="14.5" outlineLevelRow="3" outlineLevelCol="2" x14ac:dyDescent="0.35"/>
  <cols>
    <col min="1" max="1" width="0" hidden="1" customWidth="1"/>
    <col min="2" max="2" width="4" customWidth="1"/>
    <col min="3" max="3" width="42.6328125" customWidth="1"/>
    <col min="4" max="4" width="12.36328125" style="29" hidden="1" customWidth="1" outlineLevel="1"/>
    <col min="5" max="5" width="10.36328125" style="29" hidden="1" customWidth="1" outlineLevel="1"/>
    <col min="6" max="7" width="11.54296875" hidden="1" customWidth="1" outlineLevel="1"/>
    <col min="8" max="8" width="11.54296875" customWidth="1" collapsed="1"/>
    <col min="9" max="15" width="11.54296875" customWidth="1"/>
    <col min="16" max="32" width="11.54296875" hidden="1" customWidth="1" outlineLevel="2"/>
    <col min="33" max="33" width="11.453125" hidden="1" customWidth="1" outlineLevel="1" collapsed="1"/>
    <col min="34" max="34" width="9" style="11" hidden="1" customWidth="1" outlineLevel="1"/>
    <col min="35" max="35" width="9.08984375" style="29" collapsed="1"/>
    <col min="36" max="38" width="9.08984375" style="29"/>
  </cols>
  <sheetData>
    <row r="1" spans="3:34" ht="31" x14ac:dyDescent="0.7">
      <c r="C1" s="461" t="s">
        <v>138</v>
      </c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</row>
    <row r="2" spans="3:34" ht="21.5" thickBot="1" x14ac:dyDescent="0.55000000000000004">
      <c r="C2" s="459" t="s">
        <v>285</v>
      </c>
      <c r="D2" s="459"/>
      <c r="E2" s="459"/>
      <c r="F2" s="459"/>
      <c r="G2" s="459"/>
      <c r="H2" s="459"/>
      <c r="I2" s="460"/>
      <c r="J2" s="459"/>
      <c r="K2" s="459"/>
      <c r="L2" s="459"/>
      <c r="M2" s="459"/>
      <c r="N2" s="459"/>
      <c r="O2" s="460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7" t="s">
        <v>286</v>
      </c>
    </row>
    <row r="3" spans="3:34" ht="16" thickBot="1" x14ac:dyDescent="0.4">
      <c r="C3" s="305" t="s">
        <v>219</v>
      </c>
      <c r="D3" s="1" t="s">
        <v>0</v>
      </c>
      <c r="E3" s="1" t="s">
        <v>1</v>
      </c>
      <c r="F3" s="2" t="s">
        <v>2</v>
      </c>
      <c r="G3" s="3" t="s">
        <v>3</v>
      </c>
      <c r="H3" s="341" t="s">
        <v>4</v>
      </c>
      <c r="I3" s="165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177</v>
      </c>
      <c r="O3" s="165" t="s">
        <v>178</v>
      </c>
      <c r="P3" s="4" t="s">
        <v>179</v>
      </c>
      <c r="Q3" s="4" t="s">
        <v>180</v>
      </c>
      <c r="R3" s="4" t="s">
        <v>181</v>
      </c>
      <c r="S3" s="4" t="s">
        <v>221</v>
      </c>
      <c r="T3" s="4" t="s">
        <v>222</v>
      </c>
      <c r="U3" s="4" t="s">
        <v>223</v>
      </c>
      <c r="V3" s="4" t="s">
        <v>224</v>
      </c>
      <c r="W3" s="4" t="s">
        <v>225</v>
      </c>
      <c r="X3" s="4" t="s">
        <v>226</v>
      </c>
      <c r="Y3" s="4" t="s">
        <v>227</v>
      </c>
      <c r="Z3" s="4" t="s">
        <v>228</v>
      </c>
      <c r="AA3" s="4" t="s">
        <v>229</v>
      </c>
      <c r="AB3" s="4" t="s">
        <v>230</v>
      </c>
      <c r="AC3" s="4" t="s">
        <v>231</v>
      </c>
      <c r="AD3" s="4" t="s">
        <v>232</v>
      </c>
      <c r="AE3" s="4" t="s">
        <v>233</v>
      </c>
      <c r="AF3" s="4" t="s">
        <v>234</v>
      </c>
      <c r="AG3" s="407" t="s">
        <v>235</v>
      </c>
      <c r="AH3" s="5" t="s">
        <v>287</v>
      </c>
    </row>
    <row r="4" spans="3:34" hidden="1" outlineLevel="1" x14ac:dyDescent="0.35">
      <c r="C4" s="275" t="s">
        <v>10</v>
      </c>
      <c r="D4" s="7"/>
      <c r="E4" s="7"/>
      <c r="F4" s="8"/>
      <c r="G4" s="9">
        <v>401</v>
      </c>
      <c r="H4" s="38">
        <v>403</v>
      </c>
      <c r="I4" s="10">
        <f t="shared" ref="I4:L4" si="0">H4+H5+H9</f>
        <v>404</v>
      </c>
      <c r="J4" s="6">
        <f t="shared" si="0"/>
        <v>404</v>
      </c>
      <c r="K4" s="6">
        <f t="shared" si="0"/>
        <v>405</v>
      </c>
      <c r="L4" s="6">
        <f t="shared" si="0"/>
        <v>406</v>
      </c>
      <c r="M4" s="6">
        <f t="shared" ref="M4" si="1">L4+L5+L9</f>
        <v>407</v>
      </c>
      <c r="N4" s="6">
        <f t="shared" ref="N4" si="2">M4+M5+M9</f>
        <v>407</v>
      </c>
      <c r="O4" s="10">
        <f t="shared" ref="O4" si="3">N4+N5+N9</f>
        <v>408</v>
      </c>
      <c r="P4" s="6">
        <f>O4+O5+O9</f>
        <v>408</v>
      </c>
      <c r="Q4" s="6">
        <f t="shared" ref="Q4" si="4">P4+P5+P9</f>
        <v>408</v>
      </c>
      <c r="R4" s="6">
        <f t="shared" ref="R4" si="5">Q4+Q5+Q9</f>
        <v>408</v>
      </c>
      <c r="S4" s="6">
        <f t="shared" ref="S4" si="6">R4+R5+R9</f>
        <v>408</v>
      </c>
      <c r="T4" s="6">
        <f t="shared" ref="T4" si="7">S4+S5+S9</f>
        <v>408</v>
      </c>
      <c r="U4" s="6">
        <f t="shared" ref="U4" si="8">T4+T5+T9</f>
        <v>408</v>
      </c>
      <c r="V4" s="6">
        <f t="shared" ref="V4" si="9">U4+U5+U9</f>
        <v>408</v>
      </c>
      <c r="W4" s="6">
        <f t="shared" ref="W4" si="10">V4+V5+V9</f>
        <v>408</v>
      </c>
      <c r="X4" s="6">
        <f t="shared" ref="X4" si="11">W4+W5+W9</f>
        <v>408</v>
      </c>
      <c r="Y4" s="6">
        <f t="shared" ref="Y4" si="12">X4+X5+X9</f>
        <v>408</v>
      </c>
      <c r="Z4" s="6">
        <f t="shared" ref="Z4" si="13">Y4+Y5+Y9</f>
        <v>408</v>
      </c>
      <c r="AA4" s="6">
        <f t="shared" ref="AA4" si="14">Z4+Z5+Z9</f>
        <v>408</v>
      </c>
      <c r="AB4" s="6">
        <f t="shared" ref="AB4" si="15">AA4+AA5+AA9</f>
        <v>408</v>
      </c>
      <c r="AC4" s="6">
        <f t="shared" ref="AC4" si="16">AB4+AB5+AB9</f>
        <v>408</v>
      </c>
      <c r="AD4" s="6">
        <f t="shared" ref="AD4" si="17">AC4+AC5+AC9</f>
        <v>408</v>
      </c>
      <c r="AE4" s="6">
        <f t="shared" ref="AE4" si="18">AD4+AD5+AD9</f>
        <v>408</v>
      </c>
      <c r="AF4" s="6">
        <f t="shared" ref="AF4" si="19">AE4+AE5+AE9</f>
        <v>408</v>
      </c>
      <c r="AG4" s="408">
        <f t="shared" ref="AG4" si="20">AF4+AF5+AF9</f>
        <v>408</v>
      </c>
    </row>
    <row r="5" spans="3:34" hidden="1" outlineLevel="2" x14ac:dyDescent="0.35">
      <c r="C5" s="125" t="s">
        <v>11</v>
      </c>
      <c r="D5" s="153"/>
      <c r="E5" s="153"/>
      <c r="F5" s="276"/>
      <c r="G5" s="12">
        <v>1</v>
      </c>
      <c r="H5" s="342">
        <v>1</v>
      </c>
      <c r="I5" s="13">
        <v>0</v>
      </c>
      <c r="J5" s="277">
        <v>1</v>
      </c>
      <c r="K5" s="277">
        <v>1</v>
      </c>
      <c r="L5" s="277">
        <v>1</v>
      </c>
      <c r="M5" s="277">
        <v>0</v>
      </c>
      <c r="N5" s="277">
        <v>1</v>
      </c>
      <c r="O5" s="13">
        <v>0</v>
      </c>
      <c r="P5" s="277">
        <v>0</v>
      </c>
      <c r="Q5" s="277">
        <v>0</v>
      </c>
      <c r="R5" s="277">
        <v>0</v>
      </c>
      <c r="S5" s="277">
        <v>0</v>
      </c>
      <c r="T5" s="277">
        <v>0</v>
      </c>
      <c r="U5" s="277">
        <v>0</v>
      </c>
      <c r="V5" s="277">
        <v>0</v>
      </c>
      <c r="W5" s="277">
        <v>0</v>
      </c>
      <c r="X5" s="277">
        <v>0</v>
      </c>
      <c r="Y5" s="277">
        <v>0</v>
      </c>
      <c r="Z5" s="277">
        <v>0</v>
      </c>
      <c r="AA5" s="277">
        <v>0</v>
      </c>
      <c r="AB5" s="277">
        <v>0</v>
      </c>
      <c r="AC5" s="277">
        <v>0</v>
      </c>
      <c r="AD5" s="277">
        <v>0</v>
      </c>
      <c r="AE5" s="277">
        <v>0</v>
      </c>
      <c r="AF5" s="277">
        <v>0</v>
      </c>
      <c r="AG5" s="409">
        <v>0</v>
      </c>
    </row>
    <row r="6" spans="3:34" hidden="1" outlineLevel="1" collapsed="1" x14ac:dyDescent="0.35">
      <c r="C6" s="125" t="s">
        <v>12</v>
      </c>
      <c r="D6" s="153"/>
      <c r="E6" s="153"/>
      <c r="F6" s="276"/>
      <c r="G6" s="12">
        <v>1</v>
      </c>
      <c r="H6" s="146">
        <f>G6+G7</f>
        <v>1</v>
      </c>
      <c r="I6" s="14">
        <v>1</v>
      </c>
      <c r="J6">
        <f t="shared" ref="J6:K6" si="21">I6+I7</f>
        <v>1</v>
      </c>
      <c r="K6">
        <f t="shared" si="21"/>
        <v>1</v>
      </c>
      <c r="L6">
        <f>J6+J7</f>
        <v>1</v>
      </c>
      <c r="M6">
        <f t="shared" ref="M6" si="22">K6+K7</f>
        <v>1</v>
      </c>
      <c r="N6">
        <f t="shared" ref="N6" si="23">L6+L7</f>
        <v>1</v>
      </c>
      <c r="O6" s="14">
        <f t="shared" ref="O6" si="24">M6+M7</f>
        <v>1</v>
      </c>
      <c r="P6">
        <f>N6+N7</f>
        <v>1</v>
      </c>
      <c r="Q6">
        <f>O6+O7</f>
        <v>1</v>
      </c>
      <c r="R6">
        <f t="shared" ref="R6" si="25">P6+P7</f>
        <v>1</v>
      </c>
      <c r="S6">
        <f t="shared" ref="S6" si="26">Q6+Q7</f>
        <v>1</v>
      </c>
      <c r="T6">
        <f t="shared" ref="T6" si="27">R6+R7</f>
        <v>1</v>
      </c>
      <c r="U6">
        <f t="shared" ref="U6" si="28">S6+S7</f>
        <v>1</v>
      </c>
      <c r="V6">
        <f t="shared" ref="V6" si="29">T6+T7</f>
        <v>1</v>
      </c>
      <c r="W6">
        <f t="shared" ref="W6" si="30">U6+U7</f>
        <v>1</v>
      </c>
      <c r="X6">
        <f t="shared" ref="X6" si="31">V6+V7</f>
        <v>1</v>
      </c>
      <c r="Y6">
        <f t="shared" ref="Y6" si="32">W6+W7</f>
        <v>1</v>
      </c>
      <c r="Z6">
        <f t="shared" ref="Z6" si="33">X6+X7</f>
        <v>1</v>
      </c>
      <c r="AA6">
        <f t="shared" ref="AA6" si="34">Y6+Y7</f>
        <v>1</v>
      </c>
      <c r="AB6">
        <f t="shared" ref="AB6" si="35">Z6+Z7</f>
        <v>1</v>
      </c>
      <c r="AC6">
        <f t="shared" ref="AC6" si="36">AA6+AA7</f>
        <v>1</v>
      </c>
      <c r="AD6">
        <f t="shared" ref="AD6" si="37">AB6+AB7</f>
        <v>1</v>
      </c>
      <c r="AE6">
        <f t="shared" ref="AE6" si="38">AC6+AC7</f>
        <v>1</v>
      </c>
      <c r="AF6">
        <f t="shared" ref="AF6" si="39">AD6+AD7</f>
        <v>1</v>
      </c>
      <c r="AG6" s="187">
        <f t="shared" ref="AG6" si="40">AE6+AE7</f>
        <v>1</v>
      </c>
    </row>
    <row r="7" spans="3:34" hidden="1" outlineLevel="2" x14ac:dyDescent="0.35">
      <c r="C7" s="211" t="s">
        <v>13</v>
      </c>
      <c r="D7" s="16"/>
      <c r="E7" s="16"/>
      <c r="F7" s="17"/>
      <c r="G7" s="18">
        <v>0</v>
      </c>
      <c r="H7" s="343">
        <v>0</v>
      </c>
      <c r="I7" s="19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19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410">
        <v>0</v>
      </c>
    </row>
    <row r="8" spans="3:34" hidden="1" outlineLevel="1" collapsed="1" x14ac:dyDescent="0.35">
      <c r="C8" s="125" t="s">
        <v>14</v>
      </c>
      <c r="D8" s="153"/>
      <c r="E8" s="153"/>
      <c r="F8" s="276"/>
      <c r="G8" s="12">
        <v>62</v>
      </c>
      <c r="H8" s="146">
        <v>68</v>
      </c>
      <c r="I8" s="14">
        <f t="shared" ref="I8:K8" si="41">H8-H9+H10</f>
        <v>69</v>
      </c>
      <c r="J8">
        <f t="shared" si="41"/>
        <v>69</v>
      </c>
      <c r="K8">
        <f t="shared" si="41"/>
        <v>69</v>
      </c>
      <c r="L8">
        <f>K8-K9+K10</f>
        <v>69</v>
      </c>
      <c r="M8">
        <f t="shared" ref="M8:AG8" si="42">L8-L9+L10</f>
        <v>69</v>
      </c>
      <c r="N8">
        <f t="shared" si="42"/>
        <v>69</v>
      </c>
      <c r="O8" s="14">
        <f t="shared" si="42"/>
        <v>69</v>
      </c>
      <c r="P8">
        <f>O8-O9+O10</f>
        <v>69</v>
      </c>
      <c r="Q8">
        <f t="shared" si="42"/>
        <v>69</v>
      </c>
      <c r="R8">
        <f t="shared" si="42"/>
        <v>69</v>
      </c>
      <c r="S8">
        <f t="shared" si="42"/>
        <v>69</v>
      </c>
      <c r="T8">
        <f t="shared" si="42"/>
        <v>69</v>
      </c>
      <c r="U8">
        <f t="shared" si="42"/>
        <v>69</v>
      </c>
      <c r="V8">
        <f t="shared" si="42"/>
        <v>69</v>
      </c>
      <c r="W8">
        <f t="shared" si="42"/>
        <v>69</v>
      </c>
      <c r="X8">
        <f t="shared" si="42"/>
        <v>69</v>
      </c>
      <c r="Y8">
        <f t="shared" si="42"/>
        <v>69</v>
      </c>
      <c r="Z8">
        <f t="shared" si="42"/>
        <v>69</v>
      </c>
      <c r="AA8">
        <f t="shared" si="42"/>
        <v>69</v>
      </c>
      <c r="AB8">
        <f t="shared" si="42"/>
        <v>69</v>
      </c>
      <c r="AC8">
        <f t="shared" si="42"/>
        <v>69</v>
      </c>
      <c r="AD8">
        <f t="shared" si="42"/>
        <v>69</v>
      </c>
      <c r="AE8">
        <f t="shared" si="42"/>
        <v>69</v>
      </c>
      <c r="AF8">
        <f t="shared" si="42"/>
        <v>69</v>
      </c>
      <c r="AG8" s="187">
        <f t="shared" si="42"/>
        <v>69</v>
      </c>
    </row>
    <row r="9" spans="3:34" hidden="1" outlineLevel="2" x14ac:dyDescent="0.35">
      <c r="C9" s="125" t="s">
        <v>15</v>
      </c>
      <c r="D9" s="153"/>
      <c r="E9" s="153"/>
      <c r="F9" s="276"/>
      <c r="G9" s="12">
        <v>0</v>
      </c>
      <c r="H9" s="342">
        <v>0</v>
      </c>
      <c r="I9" s="13">
        <v>0</v>
      </c>
      <c r="J9" s="277">
        <v>0</v>
      </c>
      <c r="K9" s="277">
        <v>0</v>
      </c>
      <c r="L9" s="277">
        <v>0</v>
      </c>
      <c r="M9" s="277">
        <v>0</v>
      </c>
      <c r="N9" s="277">
        <v>0</v>
      </c>
      <c r="O9" s="13">
        <v>0</v>
      </c>
      <c r="P9" s="277">
        <v>0</v>
      </c>
      <c r="Q9" s="277">
        <v>0</v>
      </c>
      <c r="R9" s="277">
        <v>0</v>
      </c>
      <c r="S9" s="277">
        <v>0</v>
      </c>
      <c r="T9" s="277">
        <v>0</v>
      </c>
      <c r="U9" s="277">
        <v>0</v>
      </c>
      <c r="V9" s="277">
        <v>0</v>
      </c>
      <c r="W9" s="277">
        <v>0</v>
      </c>
      <c r="X9" s="277">
        <v>0</v>
      </c>
      <c r="Y9" s="277">
        <v>0</v>
      </c>
      <c r="Z9" s="277">
        <v>0</v>
      </c>
      <c r="AA9" s="277">
        <v>0</v>
      </c>
      <c r="AB9" s="277">
        <v>0</v>
      </c>
      <c r="AC9" s="277">
        <v>0</v>
      </c>
      <c r="AD9" s="277">
        <v>0</v>
      </c>
      <c r="AE9" s="277">
        <v>0</v>
      </c>
      <c r="AF9" s="277">
        <v>0</v>
      </c>
      <c r="AG9" s="409">
        <v>0</v>
      </c>
    </row>
    <row r="10" spans="3:34" hidden="1" outlineLevel="2" x14ac:dyDescent="0.35">
      <c r="C10" s="211" t="s">
        <v>16</v>
      </c>
      <c r="D10" s="16"/>
      <c r="E10" s="16"/>
      <c r="F10" s="17"/>
      <c r="G10" s="18">
        <v>0</v>
      </c>
      <c r="H10" s="343">
        <v>1</v>
      </c>
      <c r="I10" s="19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19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410">
        <v>0</v>
      </c>
    </row>
    <row r="11" spans="3:34" hidden="1" outlineLevel="1" collapsed="1" x14ac:dyDescent="0.35">
      <c r="C11" s="125" t="s">
        <v>17</v>
      </c>
      <c r="D11" s="153"/>
      <c r="E11" s="153"/>
      <c r="F11" s="276"/>
      <c r="G11" s="12">
        <v>10000</v>
      </c>
      <c r="H11" s="344">
        <v>10000</v>
      </c>
      <c r="I11" s="32">
        <v>15000</v>
      </c>
      <c r="J11" s="333">
        <f t="shared" ref="J11:K11" si="43">I11</f>
        <v>15000</v>
      </c>
      <c r="K11" s="333">
        <f t="shared" si="43"/>
        <v>15000</v>
      </c>
      <c r="L11" s="333">
        <v>20000</v>
      </c>
      <c r="M11" s="333">
        <v>20000</v>
      </c>
      <c r="N11" s="333">
        <v>20000</v>
      </c>
      <c r="O11" s="32">
        <v>20000</v>
      </c>
      <c r="P11" s="333">
        <v>25000</v>
      </c>
      <c r="Q11" s="333">
        <v>25000</v>
      </c>
      <c r="R11" s="333">
        <v>25000</v>
      </c>
      <c r="S11" s="333">
        <v>25000</v>
      </c>
      <c r="T11" s="333">
        <v>25000</v>
      </c>
      <c r="U11" s="333">
        <v>30000</v>
      </c>
      <c r="V11" s="333">
        <v>30000</v>
      </c>
      <c r="W11" s="333">
        <v>30000</v>
      </c>
      <c r="X11" s="333">
        <v>30000</v>
      </c>
      <c r="Y11" s="333">
        <v>30000</v>
      </c>
      <c r="Z11" s="333">
        <v>35000</v>
      </c>
      <c r="AA11" s="333">
        <v>35000</v>
      </c>
      <c r="AB11" s="333">
        <v>35000</v>
      </c>
      <c r="AC11" s="333">
        <v>35000</v>
      </c>
      <c r="AD11" s="333">
        <v>35000</v>
      </c>
      <c r="AE11" s="333">
        <v>40000</v>
      </c>
      <c r="AF11" s="333">
        <v>40000</v>
      </c>
      <c r="AG11" s="411">
        <v>40000</v>
      </c>
      <c r="AH11" s="11">
        <f>(AG11-I11)/I11</f>
        <v>1.6666666666666667</v>
      </c>
    </row>
    <row r="12" spans="3:34" hidden="1" outlineLevel="1" x14ac:dyDescent="0.35">
      <c r="C12" s="125" t="s">
        <v>18</v>
      </c>
      <c r="D12" s="153"/>
      <c r="E12" s="153"/>
      <c r="F12" s="276"/>
      <c r="G12" s="22">
        <v>34</v>
      </c>
      <c r="H12" s="345">
        <v>34</v>
      </c>
      <c r="I12" s="380">
        <v>37</v>
      </c>
      <c r="J12" s="339">
        <v>39</v>
      </c>
      <c r="K12" s="339">
        <v>43</v>
      </c>
      <c r="L12" s="339">
        <v>48</v>
      </c>
      <c r="M12" s="339">
        <v>52</v>
      </c>
      <c r="N12" s="339">
        <v>56</v>
      </c>
      <c r="O12" s="380">
        <v>61</v>
      </c>
      <c r="P12" s="339">
        <v>65</v>
      </c>
      <c r="Q12" s="339">
        <v>69</v>
      </c>
      <c r="R12" s="339">
        <v>73</v>
      </c>
      <c r="S12" s="339">
        <v>77</v>
      </c>
      <c r="T12" s="339">
        <v>82</v>
      </c>
      <c r="U12" s="339">
        <v>85</v>
      </c>
      <c r="V12" s="339">
        <v>90</v>
      </c>
      <c r="W12" s="339">
        <v>95</v>
      </c>
      <c r="X12" s="339">
        <v>99</v>
      </c>
      <c r="Y12" s="339">
        <v>102</v>
      </c>
      <c r="Z12" s="339">
        <v>107</v>
      </c>
      <c r="AA12" s="339">
        <v>112</v>
      </c>
      <c r="AB12" s="339">
        <v>115</v>
      </c>
      <c r="AC12" s="339">
        <v>120</v>
      </c>
      <c r="AD12" s="339">
        <v>124</v>
      </c>
      <c r="AE12" s="339">
        <v>129</v>
      </c>
      <c r="AF12" s="339">
        <v>132</v>
      </c>
      <c r="AG12" s="444">
        <v>137</v>
      </c>
      <c r="AH12" s="11">
        <f t="shared" ref="AH12:AH20" si="44">(AG12-I12)/I12</f>
        <v>2.7027027027027026</v>
      </c>
    </row>
    <row r="13" spans="3:34" hidden="1" outlineLevel="1" x14ac:dyDescent="0.35">
      <c r="C13" s="125" t="s">
        <v>19</v>
      </c>
      <c r="D13" s="278">
        <v>1.7000000000000001E-2</v>
      </c>
      <c r="E13" s="278">
        <v>1.7000000000000001E-2</v>
      </c>
      <c r="F13" s="278">
        <v>1.7000000000000001E-2</v>
      </c>
      <c r="G13" s="23">
        <v>0.02</v>
      </c>
      <c r="H13" s="346">
        <v>2.5000000000000001E-2</v>
      </c>
      <c r="I13" s="381">
        <v>0.03</v>
      </c>
      <c r="J13" s="306">
        <v>0.03</v>
      </c>
      <c r="K13" s="306">
        <v>0.03</v>
      </c>
      <c r="L13" s="306">
        <v>3.1E-2</v>
      </c>
      <c r="M13" s="306">
        <v>3.1E-2</v>
      </c>
      <c r="N13" s="306">
        <v>3.1E-2</v>
      </c>
      <c r="O13" s="381">
        <v>3.2000000000000001E-2</v>
      </c>
      <c r="P13" s="306">
        <v>3.2000000000000001E-2</v>
      </c>
      <c r="Q13" s="306">
        <v>3.2000000000000001E-2</v>
      </c>
      <c r="R13" s="306">
        <v>3.2500000000000001E-2</v>
      </c>
      <c r="S13" s="306">
        <v>3.3500000000000002E-2</v>
      </c>
      <c r="T13" s="306">
        <v>3.3500000000000002E-2</v>
      </c>
      <c r="U13" s="306">
        <v>3.3500000000000002E-2</v>
      </c>
      <c r="V13" s="306">
        <v>3.3500000000000002E-2</v>
      </c>
      <c r="W13" s="306">
        <v>3.3500000000000002E-2</v>
      </c>
      <c r="X13" s="306">
        <v>3.5000000000000003E-2</v>
      </c>
      <c r="Y13" s="306">
        <v>3.5000000000000003E-2</v>
      </c>
      <c r="Z13" s="306">
        <v>3.5000000000000003E-2</v>
      </c>
      <c r="AA13" s="306">
        <v>3.5000000000000003E-2</v>
      </c>
      <c r="AB13" s="306">
        <v>3.5999999999999997E-2</v>
      </c>
      <c r="AC13" s="306">
        <v>3.5999999999999997E-2</v>
      </c>
      <c r="AD13" s="306">
        <v>3.6499999999999998E-2</v>
      </c>
      <c r="AE13" s="306">
        <v>3.6499999999999998E-2</v>
      </c>
      <c r="AF13" s="306">
        <v>3.7499999999999999E-2</v>
      </c>
      <c r="AG13" s="445">
        <v>3.7499999999999999E-2</v>
      </c>
      <c r="AH13" s="11">
        <f t="shared" si="44"/>
        <v>0.25</v>
      </c>
    </row>
    <row r="14" spans="3:34" hidden="1" outlineLevel="3" x14ac:dyDescent="0.35">
      <c r="C14" s="125" t="s">
        <v>20</v>
      </c>
      <c r="D14" s="278"/>
      <c r="E14" s="278"/>
      <c r="F14" s="278"/>
      <c r="G14" s="23"/>
      <c r="H14" s="347">
        <v>0</v>
      </c>
      <c r="I14" s="31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31">
        <v>0</v>
      </c>
      <c r="P14" s="279">
        <v>0</v>
      </c>
      <c r="Q14" s="279">
        <v>0</v>
      </c>
      <c r="R14" s="279">
        <v>0</v>
      </c>
      <c r="S14" s="279">
        <v>0</v>
      </c>
      <c r="T14" s="279">
        <v>0</v>
      </c>
      <c r="U14" s="279">
        <v>0</v>
      </c>
      <c r="V14" s="279">
        <v>0</v>
      </c>
      <c r="W14" s="279">
        <v>0</v>
      </c>
      <c r="X14" s="279">
        <v>0</v>
      </c>
      <c r="Y14" s="279">
        <v>0</v>
      </c>
      <c r="Z14" s="279">
        <v>0</v>
      </c>
      <c r="AA14" s="279">
        <v>0</v>
      </c>
      <c r="AB14" s="279">
        <v>0</v>
      </c>
      <c r="AC14" s="279">
        <v>0</v>
      </c>
      <c r="AD14" s="279">
        <v>0</v>
      </c>
      <c r="AE14" s="279">
        <v>0</v>
      </c>
      <c r="AF14" s="279">
        <v>0</v>
      </c>
      <c r="AG14" s="412">
        <v>0</v>
      </c>
    </row>
    <row r="15" spans="3:34" hidden="1" outlineLevel="3" x14ac:dyDescent="0.35">
      <c r="C15" s="211" t="s">
        <v>21</v>
      </c>
      <c r="D15" s="24">
        <f t="shared" ref="D15:E15" si="45">D36/D13</f>
        <v>3020941.176470588</v>
      </c>
      <c r="E15" s="24">
        <f t="shared" si="45"/>
        <v>2802588.2352941176</v>
      </c>
      <c r="F15" s="24">
        <f>F36/F13</f>
        <v>2893411.7647058819</v>
      </c>
      <c r="G15" s="25">
        <f>60897/0.02</f>
        <v>3044850</v>
      </c>
      <c r="H15" s="348">
        <f>(G15*H4/G4)*(1+H14)</f>
        <v>3060036.2842892767</v>
      </c>
      <c r="I15" s="26">
        <f t="shared" ref="I15:K15" si="46">(H15*I4/H4)*(1+I14)</f>
        <v>3067629.4264339153</v>
      </c>
      <c r="J15" s="27">
        <f t="shared" si="46"/>
        <v>3067629.4264339157</v>
      </c>
      <c r="K15" s="27">
        <f t="shared" si="46"/>
        <v>3075222.5685785543</v>
      </c>
      <c r="L15" s="27">
        <f>(K15*L4/K4)*(1+L14)</f>
        <v>3082815.7107231929</v>
      </c>
      <c r="M15" s="27">
        <f t="shared" ref="M15" si="47">(L15*M4/L4)*(1+M14)</f>
        <v>3090408.852867831</v>
      </c>
      <c r="N15" s="27">
        <f t="shared" ref="N15" si="48">(M15*N4/M4)*(1+N14)</f>
        <v>3090408.852867831</v>
      </c>
      <c r="O15" s="26">
        <f t="shared" ref="O15" si="49">(N15*O4/N4)*(1+O14)</f>
        <v>3098001.9950124696</v>
      </c>
      <c r="P15" s="27">
        <f>(O15*P4/O4)*(1+P14)</f>
        <v>3098001.9950124696</v>
      </c>
      <c r="Q15" s="27">
        <f t="shared" ref="Q15" si="50">(P15*Q4/P4)*(1+Q14)</f>
        <v>3098001.9950124696</v>
      </c>
      <c r="R15" s="27">
        <f t="shared" ref="R15" si="51">(Q15*R4/Q4)*(1+R14)</f>
        <v>3098001.9950124696</v>
      </c>
      <c r="S15" s="27">
        <f t="shared" ref="S15" si="52">(R15*S4/R4)*(1+S14)</f>
        <v>3098001.9950124696</v>
      </c>
      <c r="T15" s="27">
        <f t="shared" ref="T15" si="53">(S15*T4/S4)*(1+T14)</f>
        <v>3098001.9950124696</v>
      </c>
      <c r="U15" s="27">
        <f t="shared" ref="U15" si="54">(T15*U4/T4)*(1+U14)</f>
        <v>3098001.9950124696</v>
      </c>
      <c r="V15" s="27">
        <f t="shared" ref="V15" si="55">(U15*V4/U4)*(1+V14)</f>
        <v>3098001.9950124696</v>
      </c>
      <c r="W15" s="27">
        <f t="shared" ref="W15" si="56">(V15*W4/V4)*(1+W14)</f>
        <v>3098001.9950124696</v>
      </c>
      <c r="X15" s="27">
        <f t="shared" ref="X15" si="57">(W15*X4/W4)*(1+X14)</f>
        <v>3098001.9950124696</v>
      </c>
      <c r="Y15" s="27">
        <f t="shared" ref="Y15" si="58">(X15*Y4/X4)*(1+Y14)</f>
        <v>3098001.9950124696</v>
      </c>
      <c r="Z15" s="27">
        <f t="shared" ref="Z15" si="59">(Y15*Z4/Y4)*(1+Z14)</f>
        <v>3098001.9950124696</v>
      </c>
      <c r="AA15" s="27">
        <f t="shared" ref="AA15" si="60">(Z15*AA4/Z4)*(1+AA14)</f>
        <v>3098001.9950124696</v>
      </c>
      <c r="AB15" s="27">
        <f t="shared" ref="AB15" si="61">(AA15*AB4/AA4)*(1+AB14)</f>
        <v>3098001.9950124696</v>
      </c>
      <c r="AC15" s="27">
        <f t="shared" ref="AC15" si="62">(AB15*AC4/AB4)*(1+AC14)</f>
        <v>3098001.9950124696</v>
      </c>
      <c r="AD15" s="27">
        <f t="shared" ref="AD15" si="63">(AC15*AD4/AC4)*(1+AD14)</f>
        <v>3098001.9950124696</v>
      </c>
      <c r="AE15" s="27">
        <f t="shared" ref="AE15" si="64">(AD15*AE4/AD4)*(1+AE14)</f>
        <v>3098001.9950124696</v>
      </c>
      <c r="AF15" s="27">
        <f t="shared" ref="AF15" si="65">(AE15*AF4/AE4)*(1+AF14)</f>
        <v>3098001.9950124696</v>
      </c>
      <c r="AG15" s="413">
        <f t="shared" ref="AG15" si="66">(AF15*AG4/AF4)*(1+AG14)</f>
        <v>3098001.9950124696</v>
      </c>
      <c r="AH15" s="11">
        <f t="shared" si="44"/>
        <v>9.9009900990101301E-3</v>
      </c>
    </row>
    <row r="16" spans="3:34" hidden="1" outlineLevel="3" x14ac:dyDescent="0.35">
      <c r="C16" s="125" t="s">
        <v>22</v>
      </c>
      <c r="D16" s="153"/>
      <c r="E16" s="153"/>
      <c r="F16" s="276"/>
      <c r="G16" s="22">
        <f>G12</f>
        <v>34</v>
      </c>
      <c r="H16" s="349">
        <f t="shared" ref="H16:K16" si="67">H12</f>
        <v>34</v>
      </c>
      <c r="I16" s="340">
        <f t="shared" si="67"/>
        <v>37</v>
      </c>
      <c r="J16" s="312">
        <f t="shared" si="67"/>
        <v>39</v>
      </c>
      <c r="K16" s="312">
        <f t="shared" si="67"/>
        <v>43</v>
      </c>
      <c r="L16" s="312">
        <f>L12</f>
        <v>48</v>
      </c>
      <c r="M16" s="312">
        <f t="shared" ref="M16:AG16" si="68">M12</f>
        <v>52</v>
      </c>
      <c r="N16" s="312">
        <f t="shared" si="68"/>
        <v>56</v>
      </c>
      <c r="O16" s="340">
        <f t="shared" si="68"/>
        <v>61</v>
      </c>
      <c r="P16" s="312">
        <f t="shared" si="68"/>
        <v>65</v>
      </c>
      <c r="Q16" s="312">
        <f t="shared" si="68"/>
        <v>69</v>
      </c>
      <c r="R16" s="312">
        <f t="shared" si="68"/>
        <v>73</v>
      </c>
      <c r="S16" s="312">
        <f t="shared" si="68"/>
        <v>77</v>
      </c>
      <c r="T16" s="312">
        <f t="shared" si="68"/>
        <v>82</v>
      </c>
      <c r="U16" s="312">
        <f t="shared" si="68"/>
        <v>85</v>
      </c>
      <c r="V16" s="312">
        <f t="shared" si="68"/>
        <v>90</v>
      </c>
      <c r="W16" s="312">
        <f t="shared" si="68"/>
        <v>95</v>
      </c>
      <c r="X16" s="312">
        <f t="shared" si="68"/>
        <v>99</v>
      </c>
      <c r="Y16" s="312">
        <f t="shared" si="68"/>
        <v>102</v>
      </c>
      <c r="Z16" s="312">
        <f t="shared" si="68"/>
        <v>107</v>
      </c>
      <c r="AA16" s="312">
        <f t="shared" si="68"/>
        <v>112</v>
      </c>
      <c r="AB16" s="312">
        <f t="shared" si="68"/>
        <v>115</v>
      </c>
      <c r="AC16" s="312">
        <f t="shared" si="68"/>
        <v>120</v>
      </c>
      <c r="AD16" s="312">
        <f t="shared" si="68"/>
        <v>124</v>
      </c>
      <c r="AE16" s="312">
        <f t="shared" si="68"/>
        <v>129</v>
      </c>
      <c r="AF16" s="312">
        <f t="shared" si="68"/>
        <v>132</v>
      </c>
      <c r="AG16" s="414">
        <f t="shared" si="68"/>
        <v>137</v>
      </c>
      <c r="AH16" s="11">
        <f t="shared" si="44"/>
        <v>2.7027027027027026</v>
      </c>
    </row>
    <row r="17" spans="1:38" hidden="1" outlineLevel="1" collapsed="1" x14ac:dyDescent="0.35">
      <c r="C17" s="125" t="s">
        <v>23</v>
      </c>
      <c r="D17" s="153"/>
      <c r="E17" s="153"/>
      <c r="F17" s="276"/>
      <c r="G17" s="22">
        <v>12</v>
      </c>
      <c r="H17" s="349">
        <v>12</v>
      </c>
      <c r="I17" s="380">
        <v>17</v>
      </c>
      <c r="J17" s="339">
        <v>22</v>
      </c>
      <c r="K17" s="339">
        <f t="shared" ref="K17:O17" si="69">J17+3</f>
        <v>25</v>
      </c>
      <c r="L17" s="339">
        <f t="shared" si="69"/>
        <v>28</v>
      </c>
      <c r="M17" s="339">
        <f t="shared" si="69"/>
        <v>31</v>
      </c>
      <c r="N17" s="339">
        <f t="shared" si="69"/>
        <v>34</v>
      </c>
      <c r="O17" s="380">
        <f t="shared" si="69"/>
        <v>37</v>
      </c>
      <c r="P17" s="339">
        <f t="shared" ref="P17" si="70">O17+3</f>
        <v>40</v>
      </c>
      <c r="Q17" s="339">
        <v>40</v>
      </c>
      <c r="R17" s="339">
        <v>40</v>
      </c>
      <c r="S17" s="339">
        <v>40</v>
      </c>
      <c r="T17" s="339">
        <v>40</v>
      </c>
      <c r="U17" s="339">
        <v>40</v>
      </c>
      <c r="V17" s="339">
        <v>40</v>
      </c>
      <c r="W17" s="339">
        <v>40</v>
      </c>
      <c r="X17" s="339">
        <v>40</v>
      </c>
      <c r="Y17" s="339">
        <v>40</v>
      </c>
      <c r="Z17" s="339">
        <v>40</v>
      </c>
      <c r="AA17" s="339">
        <v>40</v>
      </c>
      <c r="AB17" s="339">
        <v>40</v>
      </c>
      <c r="AC17" s="339">
        <v>40</v>
      </c>
      <c r="AD17" s="339">
        <v>40</v>
      </c>
      <c r="AE17" s="339">
        <v>40</v>
      </c>
      <c r="AF17" s="339">
        <v>40</v>
      </c>
      <c r="AG17" s="444">
        <v>40</v>
      </c>
      <c r="AH17" s="11">
        <f t="shared" si="44"/>
        <v>1.3529411764705883</v>
      </c>
    </row>
    <row r="18" spans="1:38" hidden="1" outlineLevel="2" x14ac:dyDescent="0.35">
      <c r="C18" s="125" t="s">
        <v>24</v>
      </c>
      <c r="D18" s="153"/>
      <c r="E18" s="153"/>
      <c r="F18" s="276"/>
      <c r="G18" s="30">
        <f>11425/239880</f>
        <v>4.7627980656995167E-2</v>
      </c>
      <c r="H18" s="347">
        <f>11425/239880</f>
        <v>4.7627980656995167E-2</v>
      </c>
      <c r="I18" s="31">
        <f t="shared" ref="I18:AG18" si="71">11425/239880</f>
        <v>4.7627980656995167E-2</v>
      </c>
      <c r="J18" s="279">
        <f t="shared" si="71"/>
        <v>4.7627980656995167E-2</v>
      </c>
      <c r="K18" s="279">
        <f t="shared" si="71"/>
        <v>4.7627980656995167E-2</v>
      </c>
      <c r="L18" s="279">
        <f t="shared" si="71"/>
        <v>4.7627980656995167E-2</v>
      </c>
      <c r="M18" s="279">
        <f t="shared" si="71"/>
        <v>4.7627980656995167E-2</v>
      </c>
      <c r="N18" s="279">
        <f t="shared" si="71"/>
        <v>4.7627980656995167E-2</v>
      </c>
      <c r="O18" s="31">
        <f t="shared" si="71"/>
        <v>4.7627980656995167E-2</v>
      </c>
      <c r="P18" s="279">
        <f t="shared" si="71"/>
        <v>4.7627980656995167E-2</v>
      </c>
      <c r="Q18" s="279">
        <f t="shared" si="71"/>
        <v>4.7627980656995167E-2</v>
      </c>
      <c r="R18" s="279">
        <f t="shared" si="71"/>
        <v>4.7627980656995167E-2</v>
      </c>
      <c r="S18" s="279">
        <f t="shared" si="71"/>
        <v>4.7627980656995167E-2</v>
      </c>
      <c r="T18" s="279">
        <f t="shared" si="71"/>
        <v>4.7627980656995167E-2</v>
      </c>
      <c r="U18" s="279">
        <f t="shared" si="71"/>
        <v>4.7627980656995167E-2</v>
      </c>
      <c r="V18" s="279">
        <f>11425/239880</f>
        <v>4.7627980656995167E-2</v>
      </c>
      <c r="W18" s="279">
        <f t="shared" si="71"/>
        <v>4.7627980656995167E-2</v>
      </c>
      <c r="X18" s="279">
        <f t="shared" si="71"/>
        <v>4.7627980656995167E-2</v>
      </c>
      <c r="Y18" s="279">
        <f t="shared" si="71"/>
        <v>4.7627980656995167E-2</v>
      </c>
      <c r="Z18" s="279">
        <f t="shared" si="71"/>
        <v>4.7627980656995167E-2</v>
      </c>
      <c r="AA18" s="279">
        <f t="shared" si="71"/>
        <v>4.7627980656995167E-2</v>
      </c>
      <c r="AB18" s="279">
        <f t="shared" si="71"/>
        <v>4.7627980656995167E-2</v>
      </c>
      <c r="AC18" s="279">
        <f t="shared" si="71"/>
        <v>4.7627980656995167E-2</v>
      </c>
      <c r="AD18" s="279">
        <f t="shared" si="71"/>
        <v>4.7627980656995167E-2</v>
      </c>
      <c r="AE18" s="279">
        <f t="shared" si="71"/>
        <v>4.7627980656995167E-2</v>
      </c>
      <c r="AF18" s="279">
        <f t="shared" si="71"/>
        <v>4.7627980656995167E-2</v>
      </c>
      <c r="AG18" s="412">
        <f t="shared" si="71"/>
        <v>4.7627980656995167E-2</v>
      </c>
      <c r="AH18" s="11">
        <f t="shared" si="44"/>
        <v>0</v>
      </c>
    </row>
    <row r="19" spans="1:38" hidden="1" outlineLevel="2" x14ac:dyDescent="0.35">
      <c r="C19" s="125" t="s">
        <v>25</v>
      </c>
      <c r="D19" s="153"/>
      <c r="E19" s="153"/>
      <c r="F19" s="276"/>
      <c r="G19" s="22">
        <v>500</v>
      </c>
      <c r="H19" s="350">
        <v>438</v>
      </c>
      <c r="I19" s="32">
        <v>500</v>
      </c>
      <c r="J19" s="280">
        <f t="shared" ref="J19:K20" si="72">I19</f>
        <v>500</v>
      </c>
      <c r="K19" s="280">
        <f t="shared" si="72"/>
        <v>500</v>
      </c>
      <c r="L19" s="280">
        <f>J19</f>
        <v>500</v>
      </c>
      <c r="M19" s="280">
        <f t="shared" ref="M19:AG19" si="73">K19</f>
        <v>500</v>
      </c>
      <c r="N19" s="280">
        <f t="shared" si="73"/>
        <v>500</v>
      </c>
      <c r="O19" s="32">
        <f t="shared" si="73"/>
        <v>500</v>
      </c>
      <c r="P19" s="280">
        <f>N19</f>
        <v>500</v>
      </c>
      <c r="Q19" s="280">
        <f>O19</f>
        <v>500</v>
      </c>
      <c r="R19" s="280">
        <f t="shared" si="73"/>
        <v>500</v>
      </c>
      <c r="S19" s="280">
        <f t="shared" si="73"/>
        <v>500</v>
      </c>
      <c r="T19" s="280">
        <f t="shared" si="73"/>
        <v>500</v>
      </c>
      <c r="U19" s="280">
        <f t="shared" si="73"/>
        <v>500</v>
      </c>
      <c r="V19" s="280">
        <f t="shared" si="73"/>
        <v>500</v>
      </c>
      <c r="W19" s="280">
        <f t="shared" si="73"/>
        <v>500</v>
      </c>
      <c r="X19" s="280">
        <f t="shared" si="73"/>
        <v>500</v>
      </c>
      <c r="Y19" s="280">
        <f t="shared" si="73"/>
        <v>500</v>
      </c>
      <c r="Z19" s="280">
        <f t="shared" si="73"/>
        <v>500</v>
      </c>
      <c r="AA19" s="280">
        <f t="shared" si="73"/>
        <v>500</v>
      </c>
      <c r="AB19" s="280">
        <f t="shared" si="73"/>
        <v>500</v>
      </c>
      <c r="AC19" s="280">
        <f t="shared" si="73"/>
        <v>500</v>
      </c>
      <c r="AD19" s="280">
        <f t="shared" si="73"/>
        <v>500</v>
      </c>
      <c r="AE19" s="280">
        <f t="shared" si="73"/>
        <v>500</v>
      </c>
      <c r="AF19" s="280">
        <f t="shared" si="73"/>
        <v>500</v>
      </c>
      <c r="AG19" s="411">
        <f t="shared" si="73"/>
        <v>500</v>
      </c>
      <c r="AH19" s="11">
        <f t="shared" si="44"/>
        <v>0</v>
      </c>
    </row>
    <row r="20" spans="1:38" hidden="1" outlineLevel="2" x14ac:dyDescent="0.35">
      <c r="C20" s="125" t="s">
        <v>26</v>
      </c>
      <c r="D20" s="153"/>
      <c r="E20" s="153"/>
      <c r="F20" s="276">
        <v>0</v>
      </c>
      <c r="G20" s="12">
        <v>0</v>
      </c>
      <c r="H20" s="342">
        <v>0</v>
      </c>
      <c r="I20" s="13">
        <v>12000</v>
      </c>
      <c r="J20" s="277">
        <f>I20</f>
        <v>12000</v>
      </c>
      <c r="K20" s="277">
        <f t="shared" si="72"/>
        <v>12000</v>
      </c>
      <c r="L20" s="277">
        <f t="shared" ref="L20" si="74">K20</f>
        <v>12000</v>
      </c>
      <c r="M20" s="277">
        <f t="shared" ref="M20" si="75">L20</f>
        <v>12000</v>
      </c>
      <c r="N20" s="277">
        <f t="shared" ref="N20" si="76">M20</f>
        <v>12000</v>
      </c>
      <c r="O20" s="13">
        <f t="shared" ref="O20" si="77">N20</f>
        <v>12000</v>
      </c>
      <c r="P20" s="277">
        <f>O20</f>
        <v>12000</v>
      </c>
      <c r="Q20" s="277">
        <f t="shared" ref="Q20" si="78">P20</f>
        <v>12000</v>
      </c>
      <c r="R20" s="277">
        <f t="shared" ref="R20" si="79">Q20</f>
        <v>12000</v>
      </c>
      <c r="S20" s="277">
        <f t="shared" ref="S20" si="80">R20</f>
        <v>12000</v>
      </c>
      <c r="T20" s="277">
        <f t="shared" ref="T20" si="81">S20</f>
        <v>12000</v>
      </c>
      <c r="U20" s="277">
        <f t="shared" ref="U20" si="82">T20</f>
        <v>12000</v>
      </c>
      <c r="V20" s="277">
        <f t="shared" ref="V20" si="83">U20</f>
        <v>12000</v>
      </c>
      <c r="W20" s="277">
        <f t="shared" ref="W20" si="84">V20</f>
        <v>12000</v>
      </c>
      <c r="X20" s="277">
        <f t="shared" ref="X20" si="85">W20</f>
        <v>12000</v>
      </c>
      <c r="Y20" s="277">
        <f t="shared" ref="Y20" si="86">X20</f>
        <v>12000</v>
      </c>
      <c r="Z20" s="277">
        <f t="shared" ref="Z20" si="87">Y20</f>
        <v>12000</v>
      </c>
      <c r="AA20" s="277">
        <f t="shared" ref="AA20" si="88">Z20</f>
        <v>12000</v>
      </c>
      <c r="AB20" s="277">
        <f t="shared" ref="AB20" si="89">AA20</f>
        <v>12000</v>
      </c>
      <c r="AC20" s="277">
        <f t="shared" ref="AC20" si="90">AB20</f>
        <v>12000</v>
      </c>
      <c r="AD20" s="277">
        <f t="shared" ref="AD20" si="91">AC20</f>
        <v>12000</v>
      </c>
      <c r="AE20" s="277">
        <f t="shared" ref="AE20" si="92">AD20</f>
        <v>12000</v>
      </c>
      <c r="AF20" s="277">
        <f t="shared" ref="AF20" si="93">AE20</f>
        <v>12000</v>
      </c>
      <c r="AG20" s="409">
        <f t="shared" ref="AG20" si="94">AF20</f>
        <v>12000</v>
      </c>
      <c r="AH20" s="11">
        <f t="shared" si="44"/>
        <v>0</v>
      </c>
    </row>
    <row r="21" spans="1:38" hidden="1" outlineLevel="2" x14ac:dyDescent="0.35">
      <c r="C21" s="125" t="s">
        <v>253</v>
      </c>
      <c r="D21" s="153"/>
      <c r="E21" s="153"/>
      <c r="F21" s="281"/>
      <c r="G21" s="33"/>
      <c r="H21" s="351">
        <v>3.5000000000000003E-2</v>
      </c>
      <c r="I21" s="34">
        <v>0.03</v>
      </c>
      <c r="J21" s="282">
        <v>0.03</v>
      </c>
      <c r="K21" s="282">
        <v>0.03</v>
      </c>
      <c r="L21" s="282">
        <v>0.03</v>
      </c>
      <c r="M21" s="282">
        <v>0.03</v>
      </c>
      <c r="N21" s="282">
        <v>0.03</v>
      </c>
      <c r="O21" s="34">
        <v>0.03</v>
      </c>
      <c r="P21" s="282">
        <v>2.5000000000000001E-2</v>
      </c>
      <c r="Q21" s="282">
        <v>2.5000000000000001E-2</v>
      </c>
      <c r="R21" s="282">
        <v>2.5000000000000001E-2</v>
      </c>
      <c r="S21" s="282">
        <v>2.5000000000000001E-2</v>
      </c>
      <c r="T21" s="282">
        <v>2.5000000000000001E-2</v>
      </c>
      <c r="U21" s="282">
        <v>2.5000000000000001E-2</v>
      </c>
      <c r="V21" s="282">
        <v>2.5000000000000001E-2</v>
      </c>
      <c r="W21" s="282">
        <v>2.5000000000000001E-2</v>
      </c>
      <c r="X21" s="282">
        <v>2.5000000000000001E-2</v>
      </c>
      <c r="Y21" s="282">
        <v>2.5000000000000001E-2</v>
      </c>
      <c r="Z21" s="282">
        <v>2.5000000000000001E-2</v>
      </c>
      <c r="AA21" s="282">
        <v>2.5000000000000001E-2</v>
      </c>
      <c r="AB21" s="282">
        <v>2.5000000000000001E-2</v>
      </c>
      <c r="AC21" s="282">
        <v>2.5000000000000001E-2</v>
      </c>
      <c r="AD21" s="282">
        <v>2.5000000000000001E-2</v>
      </c>
      <c r="AE21" s="282">
        <v>2.5000000000000001E-2</v>
      </c>
      <c r="AF21" s="282">
        <v>2.5000000000000001E-2</v>
      </c>
      <c r="AG21" s="446">
        <v>2.5000000000000001E-2</v>
      </c>
    </row>
    <row r="22" spans="1:38" hidden="1" outlineLevel="1" collapsed="1" x14ac:dyDescent="0.35">
      <c r="C22" s="211" t="s">
        <v>27</v>
      </c>
      <c r="D22" s="16"/>
      <c r="E22" s="16"/>
      <c r="F22" s="35">
        <v>0.02</v>
      </c>
      <c r="G22" s="36">
        <v>0.04</v>
      </c>
      <c r="H22" s="352">
        <v>0.08</v>
      </c>
      <c r="I22" s="382">
        <v>0.04</v>
      </c>
      <c r="J22" s="37">
        <v>0.03</v>
      </c>
      <c r="K22" s="37">
        <v>0.03</v>
      </c>
      <c r="L22" s="37">
        <v>0.02</v>
      </c>
      <c r="M22" s="37">
        <v>0.02</v>
      </c>
      <c r="N22" s="37">
        <v>0.02</v>
      </c>
      <c r="O22" s="452">
        <v>1.4999999999999999E-2</v>
      </c>
      <c r="P22" s="436">
        <v>1.4999999999999999E-2</v>
      </c>
      <c r="Q22" s="436">
        <v>1.4999999999999999E-2</v>
      </c>
      <c r="R22" s="436">
        <v>1.4999999999999999E-2</v>
      </c>
      <c r="S22" s="436">
        <v>1.4999999999999999E-2</v>
      </c>
      <c r="T22" s="436">
        <v>1.4999999999999999E-2</v>
      </c>
      <c r="U22" s="436">
        <v>1.4999999999999999E-2</v>
      </c>
      <c r="V22" s="436">
        <v>1.4999999999999999E-2</v>
      </c>
      <c r="W22" s="436">
        <v>1.4999999999999999E-2</v>
      </c>
      <c r="X22" s="436">
        <v>1.4999999999999999E-2</v>
      </c>
      <c r="Y22" s="436">
        <v>1.4999999999999999E-2</v>
      </c>
      <c r="Z22" s="436">
        <v>1.4999999999999999E-2</v>
      </c>
      <c r="AA22" s="436">
        <v>1.4999999999999999E-2</v>
      </c>
      <c r="AB22" s="436">
        <v>1.4999999999999999E-2</v>
      </c>
      <c r="AC22" s="436">
        <v>1.4999999999999999E-2</v>
      </c>
      <c r="AD22" s="436">
        <v>1.4999999999999999E-2</v>
      </c>
      <c r="AE22" s="436">
        <v>1.4999999999999999E-2</v>
      </c>
      <c r="AF22" s="436">
        <v>1.4999999999999999E-2</v>
      </c>
      <c r="AG22" s="447">
        <v>1.4999999999999999E-2</v>
      </c>
    </row>
    <row r="23" spans="1:38" hidden="1" outlineLevel="1" x14ac:dyDescent="0.35">
      <c r="C23" s="125" t="s">
        <v>250</v>
      </c>
      <c r="D23" s="128"/>
      <c r="E23" s="128"/>
      <c r="F23" s="41"/>
      <c r="G23" s="240"/>
      <c r="H23" s="240"/>
      <c r="I23" s="435"/>
      <c r="J23" s="240">
        <f>I22+J22</f>
        <v>7.0000000000000007E-2</v>
      </c>
      <c r="K23" s="240">
        <f>J23+K22</f>
        <v>0.1</v>
      </c>
      <c r="L23" s="240">
        <f t="shared" ref="L23:O23" si="95">K23+L22</f>
        <v>0.12000000000000001</v>
      </c>
      <c r="M23" s="240">
        <f t="shared" si="95"/>
        <v>0.14000000000000001</v>
      </c>
      <c r="N23" s="240">
        <f t="shared" si="95"/>
        <v>0.16</v>
      </c>
      <c r="O23" s="435">
        <f t="shared" si="95"/>
        <v>0.17499999999999999</v>
      </c>
      <c r="P23" s="240">
        <f t="shared" ref="P23" si="96">O23+P22</f>
        <v>0.19</v>
      </c>
      <c r="Q23" s="240">
        <f t="shared" ref="Q23" si="97">P23+Q22</f>
        <v>0.20500000000000002</v>
      </c>
      <c r="R23" s="240">
        <f t="shared" ref="R23" si="98">Q23+R22</f>
        <v>0.22000000000000003</v>
      </c>
      <c r="S23" s="240">
        <f t="shared" ref="S23" si="99">R23+S22</f>
        <v>0.23500000000000004</v>
      </c>
      <c r="T23" s="240">
        <f t="shared" ref="T23" si="100">S23+T22</f>
        <v>0.25000000000000006</v>
      </c>
      <c r="U23" s="240">
        <f t="shared" ref="U23" si="101">T23+U22</f>
        <v>0.26500000000000007</v>
      </c>
      <c r="V23" s="240">
        <f t="shared" ref="V23" si="102">U23+V22</f>
        <v>0.28000000000000008</v>
      </c>
      <c r="W23" s="240">
        <f t="shared" ref="W23" si="103">V23+W22</f>
        <v>0.2950000000000001</v>
      </c>
      <c r="X23" s="240">
        <f t="shared" ref="X23" si="104">W23+X22</f>
        <v>0.31000000000000011</v>
      </c>
      <c r="Y23" s="240">
        <f t="shared" ref="Y23" si="105">X23+Y22</f>
        <v>0.32500000000000012</v>
      </c>
      <c r="Z23" s="240">
        <f t="shared" ref="Z23" si="106">Y23+Z22</f>
        <v>0.34000000000000014</v>
      </c>
      <c r="AA23" s="240">
        <f t="shared" ref="AA23" si="107">Z23+AA22</f>
        <v>0.35500000000000015</v>
      </c>
      <c r="AB23" s="240">
        <f t="shared" ref="AB23" si="108">AA23+AB22</f>
        <v>0.37000000000000016</v>
      </c>
      <c r="AC23" s="240">
        <f t="shared" ref="AC23" si="109">AB23+AC22</f>
        <v>0.38500000000000018</v>
      </c>
      <c r="AD23" s="240">
        <f t="shared" ref="AD23" si="110">AC23+AD22</f>
        <v>0.40000000000000019</v>
      </c>
      <c r="AE23" s="240">
        <f t="shared" ref="AE23" si="111">AD23+AE22</f>
        <v>0.4150000000000002</v>
      </c>
      <c r="AF23" s="240">
        <f t="shared" ref="AF23" si="112">AE23+AF22</f>
        <v>0.43000000000000022</v>
      </c>
      <c r="AG23" s="448">
        <f t="shared" ref="AG23" si="113">AF23+AG22</f>
        <v>0.44500000000000023</v>
      </c>
      <c r="AH23" s="11">
        <f>AG23</f>
        <v>0.44500000000000023</v>
      </c>
      <c r="AI23" s="129"/>
      <c r="AJ23" s="129"/>
      <c r="AK23" s="129"/>
      <c r="AL23" s="129"/>
    </row>
    <row r="24" spans="1:38" ht="15" hidden="1" outlineLevel="1" collapsed="1" thickBot="1" x14ac:dyDescent="0.4">
      <c r="A24" t="s">
        <v>28</v>
      </c>
      <c r="C24" s="125"/>
      <c r="D24"/>
      <c r="E24"/>
      <c r="I24" s="14"/>
      <c r="O24" s="14"/>
      <c r="AG24" s="187"/>
    </row>
    <row r="25" spans="1:38" hidden="1" outlineLevel="1" x14ac:dyDescent="0.35">
      <c r="C25" s="275" t="s">
        <v>29</v>
      </c>
      <c r="D25" s="7"/>
      <c r="E25" s="7"/>
      <c r="F25" s="8"/>
      <c r="G25" s="156">
        <f>G17+(1+G18)*(G12+(G15/G4/12)*G13)</f>
        <v>60.877331628719602</v>
      </c>
      <c r="H25" s="353">
        <f t="shared" ref="H25:L25" si="114">H17+(1+H18)*(H12+(H15/H4/12)*H13)</f>
        <v>64.191826700315033</v>
      </c>
      <c r="I25" s="39">
        <f t="shared" si="114"/>
        <v>75.649205713881457</v>
      </c>
      <c r="J25" s="40">
        <f t="shared" si="114"/>
        <v>82.744461675195453</v>
      </c>
      <c r="K25" s="40">
        <f t="shared" si="114"/>
        <v>89.934973597823443</v>
      </c>
      <c r="L25" s="40">
        <f t="shared" si="114"/>
        <v>98.836012515427512</v>
      </c>
      <c r="M25" s="40">
        <f t="shared" ref="M25:AG25" si="115">M17+(1+M18)*(M12+(M15/M4/12)*M13)</f>
        <v>106.02652443805549</v>
      </c>
      <c r="N25" s="40">
        <f t="shared" si="115"/>
        <v>113.21703636068347</v>
      </c>
      <c r="O25" s="39">
        <f t="shared" si="115"/>
        <v>122.11807527828752</v>
      </c>
      <c r="P25" s="40">
        <f t="shared" si="115"/>
        <v>129.3085872009155</v>
      </c>
      <c r="Q25" s="40">
        <f t="shared" si="115"/>
        <v>133.49909912354349</v>
      </c>
      <c r="R25" s="40">
        <f t="shared" si="115"/>
        <v>138.02106055333101</v>
      </c>
      <c r="S25" s="40">
        <f t="shared" si="115"/>
        <v>142.8744714902781</v>
      </c>
      <c r="T25" s="40">
        <f t="shared" si="115"/>
        <v>148.11261139356307</v>
      </c>
      <c r="U25" s="40">
        <f t="shared" si="115"/>
        <v>151.25549533553405</v>
      </c>
      <c r="V25" s="40">
        <f t="shared" si="115"/>
        <v>156.49363523881902</v>
      </c>
      <c r="W25" s="40">
        <f t="shared" si="115"/>
        <v>161.73177514210403</v>
      </c>
      <c r="X25" s="40">
        <f t="shared" si="115"/>
        <v>166.91663558621062</v>
      </c>
      <c r="Y25" s="40">
        <f t="shared" si="115"/>
        <v>170.0595195281816</v>
      </c>
      <c r="Z25" s="40">
        <f t="shared" si="115"/>
        <v>175.2976594314666</v>
      </c>
      <c r="AA25" s="40">
        <f t="shared" si="115"/>
        <v>180.53579933475157</v>
      </c>
      <c r="AB25" s="40">
        <f t="shared" si="115"/>
        <v>184.34158229104162</v>
      </c>
      <c r="AC25" s="40">
        <f t="shared" si="115"/>
        <v>189.57972219432659</v>
      </c>
      <c r="AD25" s="40">
        <f t="shared" si="115"/>
        <v>194.10168362411412</v>
      </c>
      <c r="AE25" s="40">
        <f t="shared" si="115"/>
        <v>199.33982352739909</v>
      </c>
      <c r="AF25" s="40">
        <f t="shared" si="115"/>
        <v>203.14560648368919</v>
      </c>
      <c r="AG25" s="415">
        <f t="shared" si="115"/>
        <v>208.38374638697417</v>
      </c>
      <c r="AH25" s="11">
        <f>(AG25-I25)/I25</f>
        <v>1.7546058735252024</v>
      </c>
    </row>
    <row r="26" spans="1:38" hidden="1" outlineLevel="1" x14ac:dyDescent="0.35">
      <c r="C26" s="125" t="s">
        <v>113</v>
      </c>
      <c r="D26" s="153"/>
      <c r="E26" s="153"/>
      <c r="F26" s="276"/>
      <c r="G26" s="283"/>
      <c r="H26" s="354">
        <f>(H25-G25)/G25</f>
        <v>5.4445472278745188E-2</v>
      </c>
      <c r="I26" s="155">
        <f>(I25-H25)/H25</f>
        <v>0.17848657068221732</v>
      </c>
      <c r="J26" s="158">
        <f t="shared" ref="J26:L26" si="116">(J25-I25)/I25</f>
        <v>9.3791546049399321E-2</v>
      </c>
      <c r="K26" s="158">
        <f t="shared" si="116"/>
        <v>8.6900219991201066E-2</v>
      </c>
      <c r="L26" s="158">
        <f t="shared" si="116"/>
        <v>9.8971941187287873E-2</v>
      </c>
      <c r="M26" s="158">
        <f t="shared" ref="M26" si="117">(M25-L25)/L25</f>
        <v>7.2751942734492606E-2</v>
      </c>
      <c r="N26" s="158">
        <f t="shared" ref="N26" si="118">(N25-M25)/M25</f>
        <v>6.7818047990707578E-2</v>
      </c>
      <c r="O26" s="155">
        <f t="shared" ref="O26" si="119">(O25-N25)/N25</f>
        <v>7.8619253813069168E-2</v>
      </c>
      <c r="P26" s="158">
        <f>(P25-O25)/O25</f>
        <v>5.8881634895096013E-2</v>
      </c>
      <c r="Q26" s="158">
        <f t="shared" ref="Q26" si="120">(Q25-P25)/P25</f>
        <v>3.2407066021971992E-2</v>
      </c>
      <c r="R26" s="158">
        <f t="shared" ref="R26" si="121">(R25-Q25)/Q25</f>
        <v>3.387259883756058E-2</v>
      </c>
      <c r="S26" s="158">
        <f t="shared" ref="S26" si="122">(S25-R25)/R25</f>
        <v>3.5164277955042511E-2</v>
      </c>
      <c r="T26" s="158">
        <f t="shared" ref="T26" si="123">(T25-S25)/S25</f>
        <v>3.6662532142009735E-2</v>
      </c>
      <c r="U26" s="158">
        <f t="shared" ref="U26" si="124">(U25-T25)/T25</f>
        <v>2.1219556608989526E-2</v>
      </c>
      <c r="V26" s="158">
        <f t="shared" ref="V26" si="125">(V25-U25)/U25</f>
        <v>3.4631071695379205E-2</v>
      </c>
      <c r="W26" s="158">
        <f t="shared" ref="W26" si="126">(W25-V25)/V25</f>
        <v>3.347190379526474E-2</v>
      </c>
      <c r="X26" s="158">
        <f t="shared" ref="X26" si="127">(X25-W25)/W25</f>
        <v>3.2058390749442799E-2</v>
      </c>
      <c r="Y26" s="158">
        <f t="shared" ref="Y26" si="128">(Y25-X25)/X25</f>
        <v>1.8829063567769515E-2</v>
      </c>
      <c r="Z26" s="158">
        <f t="shared" ref="Z26" si="129">(Z25-Y25)/Y25</f>
        <v>3.0801803496904263E-2</v>
      </c>
      <c r="AA26" s="158">
        <f t="shared" ref="AA26" si="130">(AA25-Z25)/Z25</f>
        <v>2.9881402411609772E-2</v>
      </c>
      <c r="AB26" s="158">
        <f t="shared" ref="AB26" si="131">(AB25-AA25)/AA25</f>
        <v>2.1080489134641479E-2</v>
      </c>
      <c r="AC26" s="158">
        <f t="shared" ref="AC26" si="132">(AC25-AB25)/AB25</f>
        <v>2.8415400574217216E-2</v>
      </c>
      <c r="AD26" s="158">
        <f t="shared" ref="AD26" si="133">(AD25-AC25)/AC25</f>
        <v>2.3852558582992001E-2</v>
      </c>
      <c r="AE26" s="158">
        <f t="shared" ref="AE26" si="134">(AE25-AD25)/AD25</f>
        <v>2.6986576342268351E-2</v>
      </c>
      <c r="AF26" s="158">
        <f t="shared" ref="AF26" si="135">(AF25-AE25)/AE25</f>
        <v>1.9091935013010587E-2</v>
      </c>
      <c r="AG26" s="416">
        <f t="shared" ref="AG26" si="136">(AG25-AF25)/AF25</f>
        <v>2.5785149843767608E-2</v>
      </c>
    </row>
    <row r="27" spans="1:38" hidden="1" outlineLevel="1" x14ac:dyDescent="0.35">
      <c r="C27" s="125" t="s">
        <v>30</v>
      </c>
      <c r="D27" s="153"/>
      <c r="E27" s="153"/>
      <c r="F27" s="276"/>
      <c r="G27" s="283">
        <f>G17+((1+G18)*G12)</f>
        <v>47.619351342337836</v>
      </c>
      <c r="H27" s="355">
        <f t="shared" ref="H27:L27" si="137">H17+((1+H18)*H12)</f>
        <v>47.619351342337836</v>
      </c>
      <c r="I27" s="154">
        <f t="shared" si="137"/>
        <v>55.762235284308822</v>
      </c>
      <c r="J27" s="44">
        <f t="shared" si="137"/>
        <v>62.857491245622818</v>
      </c>
      <c r="K27" s="44">
        <f t="shared" si="137"/>
        <v>70.048003168250801</v>
      </c>
      <c r="L27" s="44">
        <f t="shared" si="137"/>
        <v>78.286143071535776</v>
      </c>
      <c r="M27" s="44">
        <f t="shared" ref="M27:AG27" si="138">M17+((1+M18)*M12)</f>
        <v>85.476654994163752</v>
      </c>
      <c r="N27" s="44">
        <f t="shared" si="138"/>
        <v>92.667166916791729</v>
      </c>
      <c r="O27" s="154">
        <f t="shared" si="138"/>
        <v>100.9053068200767</v>
      </c>
      <c r="P27" s="44">
        <f t="shared" si="138"/>
        <v>108.09581874270469</v>
      </c>
      <c r="Q27" s="44">
        <f t="shared" si="138"/>
        <v>112.28633066533267</v>
      </c>
      <c r="R27" s="44">
        <f t="shared" si="138"/>
        <v>116.47684258796065</v>
      </c>
      <c r="S27" s="44">
        <f t="shared" si="138"/>
        <v>120.66735451058864</v>
      </c>
      <c r="T27" s="44">
        <f t="shared" si="138"/>
        <v>125.90549441387361</v>
      </c>
      <c r="U27" s="44">
        <f t="shared" si="138"/>
        <v>129.04837835584459</v>
      </c>
      <c r="V27" s="44">
        <f t="shared" si="138"/>
        <v>134.28651825912959</v>
      </c>
      <c r="W27" s="44">
        <f t="shared" si="138"/>
        <v>139.52465816241454</v>
      </c>
      <c r="X27" s="44">
        <f t="shared" si="138"/>
        <v>143.71517008504253</v>
      </c>
      <c r="Y27" s="44">
        <f t="shared" si="138"/>
        <v>146.85805402701351</v>
      </c>
      <c r="Z27" s="44">
        <f t="shared" si="138"/>
        <v>152.09619393029851</v>
      </c>
      <c r="AA27" s="44">
        <f t="shared" si="138"/>
        <v>157.33433383358346</v>
      </c>
      <c r="AB27" s="44">
        <f t="shared" si="138"/>
        <v>160.47721777555444</v>
      </c>
      <c r="AC27" s="44">
        <f t="shared" si="138"/>
        <v>165.71535767883944</v>
      </c>
      <c r="AD27" s="44">
        <f t="shared" si="138"/>
        <v>169.9058696014674</v>
      </c>
      <c r="AE27" s="44">
        <f t="shared" si="138"/>
        <v>175.14400950475238</v>
      </c>
      <c r="AF27" s="44">
        <f t="shared" si="138"/>
        <v>178.28689344672338</v>
      </c>
      <c r="AG27" s="417">
        <f t="shared" si="138"/>
        <v>183.52503335000836</v>
      </c>
      <c r="AH27" s="11">
        <f>(AG27-I27)/I27</f>
        <v>2.2912065381577569</v>
      </c>
    </row>
    <row r="28" spans="1:38" ht="15" hidden="1" outlineLevel="1" thickBot="1" x14ac:dyDescent="0.4">
      <c r="C28" s="284" t="s">
        <v>113</v>
      </c>
      <c r="D28" s="42"/>
      <c r="E28" s="42"/>
      <c r="F28" s="43"/>
      <c r="G28" s="159"/>
      <c r="H28" s="356">
        <f>(H27-G27)/G27</f>
        <v>0</v>
      </c>
      <c r="I28" s="157">
        <f>(I27-H27)/H27</f>
        <v>0.17099947211442248</v>
      </c>
      <c r="J28" s="160">
        <f t="shared" ref="J28:L28" si="139">(J27-I27)/I27</f>
        <v>0.12724123997429782</v>
      </c>
      <c r="K28" s="160">
        <f t="shared" si="139"/>
        <v>0.1143938738269117</v>
      </c>
      <c r="L28" s="160">
        <f t="shared" si="139"/>
        <v>0.11760706273806966</v>
      </c>
      <c r="M28" s="160">
        <f t="shared" ref="M28" si="140">(M27-L27)/L27</f>
        <v>9.1849101775999864E-2</v>
      </c>
      <c r="N28" s="160">
        <f t="shared" ref="N28" si="141">(N27-M27)/M27</f>
        <v>8.4122523548902761E-2</v>
      </c>
      <c r="O28" s="157">
        <f t="shared" ref="O28" si="142">(O27-N27)/N27</f>
        <v>8.8900310405326352E-2</v>
      </c>
      <c r="P28" s="160">
        <f>(P27-O27)/O27</f>
        <v>7.1259997607948655E-2</v>
      </c>
      <c r="Q28" s="160">
        <f t="shared" ref="Q28" si="143">(Q27-P27)/P27</f>
        <v>3.8766642145543588E-2</v>
      </c>
      <c r="R28" s="160">
        <f t="shared" ref="R28" si="144">(R27-Q27)/Q27</f>
        <v>3.7319875872671625E-2</v>
      </c>
      <c r="S28" s="160">
        <f t="shared" ref="S28" si="145">(S27-R27)/R27</f>
        <v>3.5977210830242176E-2</v>
      </c>
      <c r="T28" s="160">
        <f t="shared" ref="T28" si="146">(T27-S27)/S27</f>
        <v>4.3409751747108406E-2</v>
      </c>
      <c r="U28" s="160">
        <f t="shared" ref="U28" si="147">(U27-T27)/T27</f>
        <v>2.4962246140265841E-2</v>
      </c>
      <c r="V28" s="160">
        <f t="shared" ref="V28" si="148">(V27-U27)/U27</f>
        <v>4.0590513186001362E-2</v>
      </c>
      <c r="W28" s="160">
        <f t="shared" ref="W28" si="149">(W27-V27)/V27</f>
        <v>3.9007191274235201E-2</v>
      </c>
      <c r="X28" s="160">
        <f t="shared" ref="X28" si="150">(X27-W27)/W27</f>
        <v>3.0034203113760718E-2</v>
      </c>
      <c r="Y28" s="160">
        <f t="shared" ref="Y28" si="151">(Y27-X27)/X27</f>
        <v>2.1868839177598284E-2</v>
      </c>
      <c r="Z28" s="160">
        <f t="shared" ref="Z28" si="152">(Z27-Y27)/Y27</f>
        <v>3.5668046522810956E-2</v>
      </c>
      <c r="AA28" s="160">
        <f t="shared" ref="AA28" si="153">(AA27-Z27)/Z27</f>
        <v>3.4439651433259673E-2</v>
      </c>
      <c r="AB28" s="160">
        <f t="shared" ref="AB28" si="154">(AB27-AA27)/AA27</f>
        <v>1.9975830229753206E-2</v>
      </c>
      <c r="AC28" s="160">
        <f t="shared" ref="AC28" si="155">(AC27-AB27)/AB27</f>
        <v>3.2641018930245506E-2</v>
      </c>
      <c r="AD28" s="160">
        <f t="shared" ref="AD28" si="156">(AD27-AC27)/AC27</f>
        <v>2.5287408368929093E-2</v>
      </c>
      <c r="AE28" s="160">
        <f t="shared" ref="AE28" si="157">(AE27-AD27)/AD27</f>
        <v>3.0829658301809101E-2</v>
      </c>
      <c r="AF28" s="160">
        <f t="shared" ref="AF28" si="158">(AF27-AE27)/AE27</f>
        <v>1.7944570019026131E-2</v>
      </c>
      <c r="AG28" s="418">
        <f t="shared" ref="AG28" si="159">(AG27-AF27)/AF27</f>
        <v>2.9380398087704984E-2</v>
      </c>
    </row>
    <row r="29" spans="1:38" ht="15" hidden="1" outlineLevel="1" thickBot="1" x14ac:dyDescent="0.4">
      <c r="C29" s="125"/>
      <c r="D29"/>
      <c r="E29"/>
      <c r="I29" s="154"/>
      <c r="J29" s="44"/>
      <c r="K29" s="44"/>
      <c r="L29" s="44"/>
      <c r="M29" s="44"/>
      <c r="N29" s="44"/>
      <c r="O29" s="15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17"/>
    </row>
    <row r="30" spans="1:38" ht="16" hidden="1" outlineLevel="1" thickBot="1" x14ac:dyDescent="0.4">
      <c r="C30" s="285" t="s">
        <v>139</v>
      </c>
      <c r="D30" s="162" t="s">
        <v>0</v>
      </c>
      <c r="E30" s="162" t="s">
        <v>1</v>
      </c>
      <c r="F30" s="163" t="s">
        <v>2</v>
      </c>
      <c r="G30" s="164" t="s">
        <v>3</v>
      </c>
      <c r="H30" s="357" t="s">
        <v>4</v>
      </c>
      <c r="I30" s="165" t="str">
        <f>I3</f>
        <v>FY 23/24</v>
      </c>
      <c r="J30" s="166" t="str">
        <f t="shared" ref="J30:AG30" si="160">J3</f>
        <v>FY 24/25</v>
      </c>
      <c r="K30" s="166" t="str">
        <f t="shared" si="160"/>
        <v>FY 25/26</v>
      </c>
      <c r="L30" s="166" t="str">
        <f t="shared" si="160"/>
        <v>FY 26/27</v>
      </c>
      <c r="M30" s="166" t="str">
        <f t="shared" si="160"/>
        <v>FY 27/28</v>
      </c>
      <c r="N30" s="166" t="str">
        <f t="shared" si="160"/>
        <v>FY 28/29</v>
      </c>
      <c r="O30" s="165" t="str">
        <f t="shared" si="160"/>
        <v>FY 29/30</v>
      </c>
      <c r="P30" s="166" t="str">
        <f t="shared" si="160"/>
        <v>FY 30/31</v>
      </c>
      <c r="Q30" s="166" t="str">
        <f t="shared" si="160"/>
        <v>FY 31/32</v>
      </c>
      <c r="R30" s="166" t="str">
        <f t="shared" si="160"/>
        <v>FY 32/33</v>
      </c>
      <c r="S30" s="166" t="str">
        <f t="shared" si="160"/>
        <v>FY 33/34</v>
      </c>
      <c r="T30" s="166" t="str">
        <f t="shared" si="160"/>
        <v>FY 34/35</v>
      </c>
      <c r="U30" s="166" t="str">
        <f t="shared" si="160"/>
        <v>FY 35/36</v>
      </c>
      <c r="V30" s="166" t="str">
        <f t="shared" si="160"/>
        <v>FY 36/37</v>
      </c>
      <c r="W30" s="166" t="str">
        <f t="shared" si="160"/>
        <v>FY 37/38</v>
      </c>
      <c r="X30" s="166" t="str">
        <f t="shared" si="160"/>
        <v>FY 38/39</v>
      </c>
      <c r="Y30" s="166" t="str">
        <f t="shared" si="160"/>
        <v>FY 39/40</v>
      </c>
      <c r="Z30" s="166" t="str">
        <f t="shared" si="160"/>
        <v>FY40/41</v>
      </c>
      <c r="AA30" s="166" t="str">
        <f t="shared" si="160"/>
        <v>FY 41/42</v>
      </c>
      <c r="AB30" s="166" t="str">
        <f t="shared" si="160"/>
        <v>FY 42/43</v>
      </c>
      <c r="AC30" s="166" t="str">
        <f t="shared" si="160"/>
        <v>FY 43/44</v>
      </c>
      <c r="AD30" s="166" t="str">
        <f t="shared" si="160"/>
        <v>FY 44/45</v>
      </c>
      <c r="AE30" s="166" t="str">
        <f t="shared" si="160"/>
        <v>FY 45/46</v>
      </c>
      <c r="AF30" s="166" t="str">
        <f t="shared" si="160"/>
        <v>FY 46/47</v>
      </c>
      <c r="AG30" s="419" t="str">
        <f t="shared" si="160"/>
        <v>FY 47/48</v>
      </c>
    </row>
    <row r="31" spans="1:38" ht="15.5" collapsed="1" x14ac:dyDescent="0.35">
      <c r="C31" s="286" t="s">
        <v>115</v>
      </c>
      <c r="D31" s="45"/>
      <c r="E31" s="46"/>
      <c r="F31" s="47"/>
      <c r="G31" s="48"/>
      <c r="H31" s="358"/>
      <c r="I31" s="49"/>
      <c r="J31" s="47"/>
      <c r="K31" s="50"/>
      <c r="L31" s="50"/>
      <c r="M31" s="50"/>
      <c r="N31" s="394"/>
      <c r="O31" s="49"/>
      <c r="P31" s="47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394"/>
      <c r="AG31" s="50"/>
    </row>
    <row r="32" spans="1:38" x14ac:dyDescent="0.35">
      <c r="C32" s="287" t="s">
        <v>31</v>
      </c>
      <c r="D32" s="51">
        <f>E32-D46-D45</f>
        <v>47.980679999999978</v>
      </c>
      <c r="E32" s="51">
        <f>F32-E46-E45</f>
        <v>35.169999999999987</v>
      </c>
      <c r="F32" s="52">
        <v>20.5</v>
      </c>
      <c r="G32" s="53">
        <f>F47</f>
        <v>28.846000000000004</v>
      </c>
      <c r="H32" s="359">
        <f>G47</f>
        <v>-5.0555848549274742</v>
      </c>
      <c r="I32" s="54">
        <f t="shared" ref="I32:J32" si="161">H47</f>
        <v>-3.6486357970651966</v>
      </c>
      <c r="J32" s="55">
        <f t="shared" si="161"/>
        <v>5.8405725583593835</v>
      </c>
      <c r="K32" s="75">
        <f t="shared" ref="K32:P32" si="162">J47</f>
        <v>7.2827938202372025</v>
      </c>
      <c r="L32" s="75">
        <f t="shared" si="162"/>
        <v>4.2075829313719169</v>
      </c>
      <c r="M32" s="75">
        <f t="shared" si="162"/>
        <v>5.2956927687258144</v>
      </c>
      <c r="N32" s="396">
        <f t="shared" si="162"/>
        <v>3.629231341232412</v>
      </c>
      <c r="O32" s="54">
        <f t="shared" si="162"/>
        <v>-0.44045526444131156</v>
      </c>
      <c r="P32" s="55">
        <f t="shared" si="162"/>
        <v>1.4049300353638046</v>
      </c>
      <c r="Q32" s="75">
        <f t="shared" ref="Q32:AG32" si="163">P47</f>
        <v>1.3817573957182958</v>
      </c>
      <c r="R32" s="75">
        <f t="shared" si="163"/>
        <v>-0.57328441139895858</v>
      </c>
      <c r="S32" s="75">
        <f t="shared" si="163"/>
        <v>-2.9016794953764133</v>
      </c>
      <c r="T32" s="75">
        <f t="shared" si="163"/>
        <v>-4.0458758790491061</v>
      </c>
      <c r="U32" s="75">
        <f t="shared" si="163"/>
        <v>-1.729582669735521</v>
      </c>
      <c r="V32" s="75">
        <f t="shared" si="163"/>
        <v>-7.1960913948512939</v>
      </c>
      <c r="W32" s="75">
        <f t="shared" si="163"/>
        <v>-9.3375109299612973</v>
      </c>
      <c r="X32" s="75">
        <f t="shared" si="163"/>
        <v>-8.2230685108771695</v>
      </c>
      <c r="Y32" s="75">
        <f t="shared" si="163"/>
        <v>-4.6427470696129944</v>
      </c>
      <c r="Z32" s="75">
        <f t="shared" si="163"/>
        <v>-9.1242442451664374</v>
      </c>
      <c r="AA32" s="75">
        <f t="shared" si="163"/>
        <v>-10.563854163338419</v>
      </c>
      <c r="AB32" s="75">
        <f t="shared" si="163"/>
        <v>-9.0350520889297172</v>
      </c>
      <c r="AC32" s="75">
        <f t="shared" si="163"/>
        <v>-12.542957139256259</v>
      </c>
      <c r="AD32" s="75">
        <f t="shared" si="163"/>
        <v>-13.23272364545511</v>
      </c>
      <c r="AE32" s="75">
        <f t="shared" si="163"/>
        <v>-15.146453964797274</v>
      </c>
      <c r="AF32" s="396">
        <f t="shared" si="163"/>
        <v>-14.396861203444189</v>
      </c>
      <c r="AG32" s="75">
        <f t="shared" si="163"/>
        <v>-18.993640812389742</v>
      </c>
    </row>
    <row r="33" spans="1:38" hidden="1" outlineLevel="1" x14ac:dyDescent="0.35">
      <c r="C33" s="287" t="s">
        <v>32</v>
      </c>
      <c r="D33" s="57">
        <f t="shared" ref="D33:E33" si="164">SUM(D34:D38)/1000</f>
        <v>220.18932000000001</v>
      </c>
      <c r="E33" s="57">
        <f t="shared" si="164"/>
        <v>221.83</v>
      </c>
      <c r="F33" s="57">
        <f>SUM(F34:F38)/1000</f>
        <v>223.54599999999999</v>
      </c>
      <c r="G33" s="57">
        <f>SUM(G34:G38)/1000</f>
        <v>250.09841514507252</v>
      </c>
      <c r="H33" s="359">
        <f>SUM(H34:H39)/1000</f>
        <v>268.10694905786227</v>
      </c>
      <c r="I33" s="54">
        <f>SUM(I34:I38)/1000</f>
        <v>301.80920835542457</v>
      </c>
      <c r="J33" s="55">
        <f t="shared" ref="J33:L33" si="165">SUM(J34:J38)/1000</f>
        <v>313.37502126187786</v>
      </c>
      <c r="K33" s="75">
        <f t="shared" si="165"/>
        <v>336.35557311113473</v>
      </c>
      <c r="L33" s="75">
        <f t="shared" si="165"/>
        <v>368.24181735735391</v>
      </c>
      <c r="M33" s="75">
        <f t="shared" ref="M33:AG33" si="166">SUM(M34:M38)/1000</f>
        <v>390.79032024290666</v>
      </c>
      <c r="N33" s="396">
        <f t="shared" si="166"/>
        <v>413.79623069813431</v>
      </c>
      <c r="O33" s="54">
        <f t="shared" si="166"/>
        <v>445.22862094968934</v>
      </c>
      <c r="P33" s="55">
        <f t="shared" si="166"/>
        <v>467.58081154498694</v>
      </c>
      <c r="Q33" s="75">
        <f t="shared" si="166"/>
        <v>489.93300214028466</v>
      </c>
      <c r="R33" s="75">
        <f t="shared" si="166"/>
        <v>513.90796952263543</v>
      </c>
      <c r="S33" s="75">
        <f t="shared" si="166"/>
        <v>539.50571369203942</v>
      </c>
      <c r="T33" s="75">
        <f t="shared" si="166"/>
        <v>567.44595193616135</v>
      </c>
      <c r="U33" s="75">
        <f t="shared" si="166"/>
        <v>584.21009488263462</v>
      </c>
      <c r="V33" s="75">
        <f t="shared" si="166"/>
        <v>612.15033312675666</v>
      </c>
      <c r="W33" s="75">
        <f t="shared" si="166"/>
        <v>640.09057137087871</v>
      </c>
      <c r="X33" s="75">
        <f t="shared" si="166"/>
        <v>667.3110923273357</v>
      </c>
      <c r="Y33" s="75">
        <f t="shared" si="166"/>
        <v>684.07523527380908</v>
      </c>
      <c r="Z33" s="75">
        <f t="shared" si="166"/>
        <v>712.01547351793101</v>
      </c>
      <c r="AA33" s="75">
        <f t="shared" si="166"/>
        <v>739.95571176205317</v>
      </c>
      <c r="AB33" s="75">
        <f t="shared" si="166"/>
        <v>759.96540828263255</v>
      </c>
      <c r="AC33" s="75">
        <f t="shared" si="166"/>
        <v>787.90564652675459</v>
      </c>
      <c r="AD33" s="75">
        <f t="shared" si="166"/>
        <v>811.88061390910559</v>
      </c>
      <c r="AE33" s="75">
        <f t="shared" si="166"/>
        <v>839.82085215322752</v>
      </c>
      <c r="AF33" s="396">
        <f t="shared" si="166"/>
        <v>859.8305486738069</v>
      </c>
      <c r="AG33" s="75">
        <f t="shared" si="166"/>
        <v>887.77078691792906</v>
      </c>
      <c r="AH33" s="11">
        <f>(AG33-I33)/I33</f>
        <v>1.9414966884391704</v>
      </c>
    </row>
    <row r="34" spans="1:38" hidden="1" outlineLevel="2" x14ac:dyDescent="0.35">
      <c r="C34" s="287" t="s">
        <v>133</v>
      </c>
      <c r="D34" s="59">
        <v>153182</v>
      </c>
      <c r="E34" s="51">
        <v>159400</v>
      </c>
      <c r="F34" s="52">
        <v>162030</v>
      </c>
      <c r="G34" s="53">
        <f>12*((G12*(G4+G5))+(0.5*G16*G8))</f>
        <v>176664</v>
      </c>
      <c r="H34" s="360">
        <v>182100</v>
      </c>
      <c r="I34" s="54">
        <f>12*((I12*(I4+I5))+(0.5*I16*I8))</f>
        <v>194694</v>
      </c>
      <c r="J34" s="55">
        <f t="shared" ref="J34:L34" si="167">12*((J12*(J4+J5))+(0.5*J16*J8))</f>
        <v>205686</v>
      </c>
      <c r="K34" s="75">
        <f t="shared" si="167"/>
        <v>227298</v>
      </c>
      <c r="L34" s="75">
        <f t="shared" si="167"/>
        <v>254304</v>
      </c>
      <c r="M34" s="75">
        <f t="shared" ref="M34:AG34" si="168">12*((M12*(M4+M5))+(0.5*M16*M8))</f>
        <v>275496</v>
      </c>
      <c r="N34" s="396">
        <f t="shared" si="168"/>
        <v>297360</v>
      </c>
      <c r="O34" s="54">
        <f t="shared" si="168"/>
        <v>323910</v>
      </c>
      <c r="P34" s="55">
        <f t="shared" si="168"/>
        <v>345150</v>
      </c>
      <c r="Q34" s="75">
        <f t="shared" si="168"/>
        <v>366390</v>
      </c>
      <c r="R34" s="75">
        <f t="shared" si="168"/>
        <v>387630</v>
      </c>
      <c r="S34" s="75">
        <f t="shared" si="168"/>
        <v>408870</v>
      </c>
      <c r="T34" s="75">
        <f t="shared" si="168"/>
        <v>435420</v>
      </c>
      <c r="U34" s="75">
        <f t="shared" si="168"/>
        <v>451350</v>
      </c>
      <c r="V34" s="75">
        <f t="shared" si="168"/>
        <v>477900</v>
      </c>
      <c r="W34" s="75">
        <f t="shared" si="168"/>
        <v>504450</v>
      </c>
      <c r="X34" s="75">
        <f t="shared" si="168"/>
        <v>525690</v>
      </c>
      <c r="Y34" s="75">
        <f t="shared" si="168"/>
        <v>541620</v>
      </c>
      <c r="Z34" s="75">
        <f t="shared" si="168"/>
        <v>568170</v>
      </c>
      <c r="AA34" s="75">
        <f t="shared" si="168"/>
        <v>594720</v>
      </c>
      <c r="AB34" s="75">
        <f t="shared" si="168"/>
        <v>610650</v>
      </c>
      <c r="AC34" s="75">
        <f t="shared" si="168"/>
        <v>637200</v>
      </c>
      <c r="AD34" s="75">
        <f t="shared" si="168"/>
        <v>658440</v>
      </c>
      <c r="AE34" s="75">
        <f t="shared" si="168"/>
        <v>684990</v>
      </c>
      <c r="AF34" s="396">
        <f t="shared" si="168"/>
        <v>700920</v>
      </c>
      <c r="AG34" s="75">
        <f t="shared" si="168"/>
        <v>727470</v>
      </c>
      <c r="AH34" s="11">
        <f t="shared" ref="AH34:AH46" si="169">(AG34-I34)/I34</f>
        <v>2.7364787820888163</v>
      </c>
    </row>
    <row r="35" spans="1:38" hidden="1" outlineLevel="2" x14ac:dyDescent="0.35">
      <c r="C35" s="287" t="s">
        <v>237</v>
      </c>
      <c r="D35" s="59">
        <v>816</v>
      </c>
      <c r="E35" s="51">
        <v>816</v>
      </c>
      <c r="F35" s="52">
        <v>816</v>
      </c>
      <c r="G35" s="53">
        <f>12*2*(G12*(G6+G7))</f>
        <v>816</v>
      </c>
      <c r="H35" s="360">
        <v>0</v>
      </c>
      <c r="I35" s="54">
        <f t="shared" ref="I35:L35" si="170">12*2*(I12*(I6+I7))</f>
        <v>888</v>
      </c>
      <c r="J35" s="55">
        <f t="shared" si="170"/>
        <v>936</v>
      </c>
      <c r="K35" s="75">
        <f t="shared" si="170"/>
        <v>1032</v>
      </c>
      <c r="L35" s="75">
        <f t="shared" si="170"/>
        <v>1152</v>
      </c>
      <c r="M35" s="75">
        <f t="shared" ref="M35:AG35" si="171">12*2*(M12*(M6+M7))</f>
        <v>1248</v>
      </c>
      <c r="N35" s="396">
        <f t="shared" si="171"/>
        <v>1344</v>
      </c>
      <c r="O35" s="54">
        <f t="shared" si="171"/>
        <v>1464</v>
      </c>
      <c r="P35" s="55">
        <f t="shared" si="171"/>
        <v>1560</v>
      </c>
      <c r="Q35" s="75">
        <f t="shared" si="171"/>
        <v>1656</v>
      </c>
      <c r="R35" s="75">
        <f t="shared" si="171"/>
        <v>1752</v>
      </c>
      <c r="S35" s="75">
        <f t="shared" si="171"/>
        <v>1848</v>
      </c>
      <c r="T35" s="75">
        <f t="shared" si="171"/>
        <v>1968</v>
      </c>
      <c r="U35" s="75">
        <f t="shared" si="171"/>
        <v>2040</v>
      </c>
      <c r="V35" s="75">
        <f t="shared" si="171"/>
        <v>2160</v>
      </c>
      <c r="W35" s="75">
        <f t="shared" si="171"/>
        <v>2280</v>
      </c>
      <c r="X35" s="75">
        <f t="shared" si="171"/>
        <v>2376</v>
      </c>
      <c r="Y35" s="75">
        <f t="shared" si="171"/>
        <v>2448</v>
      </c>
      <c r="Z35" s="75">
        <f t="shared" si="171"/>
        <v>2568</v>
      </c>
      <c r="AA35" s="75">
        <f t="shared" si="171"/>
        <v>2688</v>
      </c>
      <c r="AB35" s="75">
        <f t="shared" si="171"/>
        <v>2760</v>
      </c>
      <c r="AC35" s="75">
        <f t="shared" si="171"/>
        <v>2880</v>
      </c>
      <c r="AD35" s="75">
        <f t="shared" si="171"/>
        <v>2976</v>
      </c>
      <c r="AE35" s="75">
        <f t="shared" si="171"/>
        <v>3096</v>
      </c>
      <c r="AF35" s="396">
        <f t="shared" si="171"/>
        <v>3168</v>
      </c>
      <c r="AG35" s="75">
        <f t="shared" si="171"/>
        <v>3288</v>
      </c>
      <c r="AH35" s="11">
        <f t="shared" si="169"/>
        <v>2.7027027027027026</v>
      </c>
    </row>
    <row r="36" spans="1:38" hidden="1" outlineLevel="2" x14ac:dyDescent="0.35">
      <c r="C36" s="287" t="s">
        <v>33</v>
      </c>
      <c r="D36" s="59">
        <v>51356</v>
      </c>
      <c r="E36" s="51">
        <v>47644</v>
      </c>
      <c r="F36" s="52">
        <v>49188</v>
      </c>
      <c r="G36" s="53">
        <f>G15*G13</f>
        <v>60897</v>
      </c>
      <c r="H36" s="360">
        <v>73400</v>
      </c>
      <c r="I36" s="54">
        <f>I15*I13</f>
        <v>92028.882793017459</v>
      </c>
      <c r="J36" s="55">
        <f t="shared" ref="J36:L36" si="172">J15*J13</f>
        <v>92028.882793017474</v>
      </c>
      <c r="K36" s="75">
        <f t="shared" si="172"/>
        <v>92256.677057356632</v>
      </c>
      <c r="L36" s="75">
        <f t="shared" si="172"/>
        <v>95567.287032418986</v>
      </c>
      <c r="M36" s="75">
        <f t="shared" ref="M36:AG36" si="173">M15*M13</f>
        <v>95802.674438902759</v>
      </c>
      <c r="N36" s="396">
        <f t="shared" si="173"/>
        <v>95802.674438902759</v>
      </c>
      <c r="O36" s="54">
        <f t="shared" si="173"/>
        <v>99136.063840399031</v>
      </c>
      <c r="P36" s="55">
        <f t="shared" si="173"/>
        <v>99136.063840399031</v>
      </c>
      <c r="Q36" s="75">
        <f t="shared" si="173"/>
        <v>99136.063840399031</v>
      </c>
      <c r="R36" s="75">
        <f t="shared" si="173"/>
        <v>100685.06483790526</v>
      </c>
      <c r="S36" s="75">
        <f t="shared" si="173"/>
        <v>103783.06683291774</v>
      </c>
      <c r="T36" s="75">
        <f t="shared" si="173"/>
        <v>103783.06683291774</v>
      </c>
      <c r="U36" s="75">
        <f t="shared" si="173"/>
        <v>103783.06683291774</v>
      </c>
      <c r="V36" s="75">
        <f t="shared" si="173"/>
        <v>103783.06683291774</v>
      </c>
      <c r="W36" s="75">
        <f t="shared" si="173"/>
        <v>103783.06683291774</v>
      </c>
      <c r="X36" s="75">
        <f t="shared" si="173"/>
        <v>108430.06982543644</v>
      </c>
      <c r="Y36" s="75">
        <f t="shared" si="173"/>
        <v>108430.06982543644</v>
      </c>
      <c r="Z36" s="75">
        <f t="shared" si="173"/>
        <v>108430.06982543644</v>
      </c>
      <c r="AA36" s="75">
        <f t="shared" si="173"/>
        <v>108430.06982543644</v>
      </c>
      <c r="AB36" s="75">
        <f t="shared" si="173"/>
        <v>111528.07182044889</v>
      </c>
      <c r="AC36" s="75">
        <f t="shared" si="173"/>
        <v>111528.07182044889</v>
      </c>
      <c r="AD36" s="75">
        <f t="shared" si="173"/>
        <v>113077.07281795514</v>
      </c>
      <c r="AE36" s="75">
        <f t="shared" si="173"/>
        <v>113077.07281795514</v>
      </c>
      <c r="AF36" s="396">
        <f t="shared" si="173"/>
        <v>116175.07481296761</v>
      </c>
      <c r="AG36" s="75">
        <f t="shared" si="173"/>
        <v>116175.07481296761</v>
      </c>
      <c r="AH36" s="11">
        <f t="shared" si="169"/>
        <v>0.26237623762376261</v>
      </c>
    </row>
    <row r="37" spans="1:38" hidden="1" outlineLevel="2" x14ac:dyDescent="0.35">
      <c r="C37" s="287" t="s">
        <v>34</v>
      </c>
      <c r="D37" s="59">
        <v>10659</v>
      </c>
      <c r="E37" s="51">
        <v>10625</v>
      </c>
      <c r="F37" s="61">
        <v>10714</v>
      </c>
      <c r="G37" s="53">
        <f>G18*SUM(G34:G36)</f>
        <v>11353.415145072537</v>
      </c>
      <c r="H37" s="360">
        <f>H18*SUM(H34:H36)</f>
        <v>12168.949057862264</v>
      </c>
      <c r="I37" s="54">
        <f t="shared" ref="I37:L37" si="174">I18*SUM(I34:I36)</f>
        <v>13698.325562407139</v>
      </c>
      <c r="J37" s="55">
        <f t="shared" si="174"/>
        <v>14224.138468860368</v>
      </c>
      <c r="K37" s="75">
        <f t="shared" si="174"/>
        <v>15268.896053778139</v>
      </c>
      <c r="L37" s="75">
        <f t="shared" si="174"/>
        <v>16718.530324934916</v>
      </c>
      <c r="M37" s="75">
        <f t="shared" ref="M37:AG37" si="175">M18*SUM(M34:M36)</f>
        <v>17743.645804003936</v>
      </c>
      <c r="N37" s="396">
        <f t="shared" si="175"/>
        <v>18789.556259231551</v>
      </c>
      <c r="O37" s="54">
        <f t="shared" si="175"/>
        <v>20218.557109290308</v>
      </c>
      <c r="P37" s="55">
        <f t="shared" si="175"/>
        <v>21234.747704587957</v>
      </c>
      <c r="Q37" s="75">
        <f t="shared" si="175"/>
        <v>22250.938299885605</v>
      </c>
      <c r="R37" s="75">
        <f t="shared" si="175"/>
        <v>23340.904684730147</v>
      </c>
      <c r="S37" s="75">
        <f t="shared" si="175"/>
        <v>24504.646859121585</v>
      </c>
      <c r="T37" s="75">
        <f t="shared" si="175"/>
        <v>25774.885103243643</v>
      </c>
      <c r="U37" s="75">
        <f t="shared" si="175"/>
        <v>26537.028049716882</v>
      </c>
      <c r="V37" s="75">
        <f t="shared" si="175"/>
        <v>27807.266293838944</v>
      </c>
      <c r="W37" s="75">
        <f t="shared" si="175"/>
        <v>29077.504537961006</v>
      </c>
      <c r="X37" s="75">
        <f t="shared" si="175"/>
        <v>30315.022501899333</v>
      </c>
      <c r="Y37" s="75">
        <f t="shared" si="175"/>
        <v>31077.165448372569</v>
      </c>
      <c r="Z37" s="75">
        <f t="shared" si="175"/>
        <v>32347.40369249463</v>
      </c>
      <c r="AA37" s="75">
        <f t="shared" si="175"/>
        <v>33617.641936616688</v>
      </c>
      <c r="AB37" s="75">
        <f t="shared" si="175"/>
        <v>34527.33646218371</v>
      </c>
      <c r="AC37" s="75">
        <f t="shared" si="175"/>
        <v>35797.574706305772</v>
      </c>
      <c r="AD37" s="75">
        <f t="shared" si="175"/>
        <v>36887.54109115032</v>
      </c>
      <c r="AE37" s="75">
        <f t="shared" si="175"/>
        <v>38157.779335272382</v>
      </c>
      <c r="AF37" s="396">
        <f t="shared" si="175"/>
        <v>39067.473860839396</v>
      </c>
      <c r="AG37" s="75">
        <f t="shared" si="175"/>
        <v>40337.712104961458</v>
      </c>
      <c r="AH37" s="11">
        <f t="shared" si="169"/>
        <v>1.9447184563682622</v>
      </c>
    </row>
    <row r="38" spans="1:38" hidden="1" outlineLevel="2" x14ac:dyDescent="0.35">
      <c r="C38" s="287" t="s">
        <v>35</v>
      </c>
      <c r="D38" s="59">
        <f>1895+2256-350+335+40.32</f>
        <v>4176.32</v>
      </c>
      <c r="E38" s="51">
        <f>903+1332+1110</f>
        <v>3345</v>
      </c>
      <c r="F38" s="52">
        <f>235+563</f>
        <v>798</v>
      </c>
      <c r="G38" s="53">
        <v>368</v>
      </c>
      <c r="H38" s="360">
        <f>H19</f>
        <v>438</v>
      </c>
      <c r="I38" s="54">
        <v>500</v>
      </c>
      <c r="J38" s="55">
        <f>I38</f>
        <v>500</v>
      </c>
      <c r="K38" s="75">
        <f t="shared" ref="K38:L38" si="176">J38</f>
        <v>500</v>
      </c>
      <c r="L38" s="75">
        <f t="shared" si="176"/>
        <v>500</v>
      </c>
      <c r="M38" s="75">
        <f t="shared" ref="M38" si="177">L38</f>
        <v>500</v>
      </c>
      <c r="N38" s="396">
        <f t="shared" ref="N38" si="178">M38</f>
        <v>500</v>
      </c>
      <c r="O38" s="54">
        <f t="shared" ref="O38" si="179">N38</f>
        <v>500</v>
      </c>
      <c r="P38" s="55">
        <f>O38</f>
        <v>500</v>
      </c>
      <c r="Q38" s="75">
        <f t="shared" ref="Q38" si="180">P38</f>
        <v>500</v>
      </c>
      <c r="R38" s="75">
        <f t="shared" ref="R38" si="181">Q38</f>
        <v>500</v>
      </c>
      <c r="S38" s="75">
        <f t="shared" ref="S38" si="182">R38</f>
        <v>500</v>
      </c>
      <c r="T38" s="75">
        <f t="shared" ref="T38" si="183">S38</f>
        <v>500</v>
      </c>
      <c r="U38" s="75">
        <f t="shared" ref="U38" si="184">T38</f>
        <v>500</v>
      </c>
      <c r="V38" s="75">
        <f t="shared" ref="V38" si="185">U38</f>
        <v>500</v>
      </c>
      <c r="W38" s="75">
        <f t="shared" ref="W38" si="186">V38</f>
        <v>500</v>
      </c>
      <c r="X38" s="75">
        <f t="shared" ref="X38" si="187">W38</f>
        <v>500</v>
      </c>
      <c r="Y38" s="75">
        <f t="shared" ref="Y38" si="188">X38</f>
        <v>500</v>
      </c>
      <c r="Z38" s="75">
        <f t="shared" ref="Z38" si="189">Y38</f>
        <v>500</v>
      </c>
      <c r="AA38" s="75">
        <f t="shared" ref="AA38" si="190">Z38</f>
        <v>500</v>
      </c>
      <c r="AB38" s="75">
        <f t="shared" ref="AB38" si="191">AA38</f>
        <v>500</v>
      </c>
      <c r="AC38" s="75">
        <f t="shared" ref="AC38" si="192">AB38</f>
        <v>500</v>
      </c>
      <c r="AD38" s="75">
        <f t="shared" ref="AD38" si="193">AC38</f>
        <v>500</v>
      </c>
      <c r="AE38" s="75">
        <f t="shared" ref="AE38" si="194">AD38</f>
        <v>500</v>
      </c>
      <c r="AF38" s="396">
        <f t="shared" ref="AF38" si="195">AE38</f>
        <v>500</v>
      </c>
      <c r="AG38" s="75">
        <f t="shared" ref="AG38" si="196">AF38</f>
        <v>500</v>
      </c>
      <c r="AH38" s="11">
        <f t="shared" si="169"/>
        <v>0</v>
      </c>
    </row>
    <row r="39" spans="1:38" hidden="1" outlineLevel="2" x14ac:dyDescent="0.35">
      <c r="C39" s="287"/>
      <c r="D39" s="62"/>
      <c r="E39" s="51"/>
      <c r="F39" s="52"/>
      <c r="G39" s="53"/>
      <c r="H39" s="361"/>
      <c r="I39" s="63"/>
      <c r="J39" s="376"/>
      <c r="K39" s="65"/>
      <c r="L39" s="65"/>
      <c r="M39" s="65"/>
      <c r="N39" s="397"/>
      <c r="O39" s="453"/>
      <c r="P39" s="376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97"/>
      <c r="AG39" s="65"/>
    </row>
    <row r="40" spans="1:38" hidden="1" outlineLevel="1" x14ac:dyDescent="0.35">
      <c r="A40">
        <f>22/500</f>
        <v>4.3999999999999997E-2</v>
      </c>
      <c r="C40" s="287" t="s">
        <v>36</v>
      </c>
      <c r="D40" s="59">
        <v>-99</v>
      </c>
      <c r="E40" s="51">
        <v>-103</v>
      </c>
      <c r="F40" s="52">
        <v>-102.5</v>
      </c>
      <c r="G40" s="53">
        <v>-121</v>
      </c>
      <c r="H40" s="360">
        <v>-124.2</v>
      </c>
      <c r="I40" s="331">
        <v>-132.9</v>
      </c>
      <c r="J40" s="376">
        <f>I40*(1+I$22)</f>
        <v>-138.21600000000001</v>
      </c>
      <c r="K40" s="65">
        <f t="shared" ref="K40:L42" si="197">J40*(1+J$22)</f>
        <v>-142.36248000000001</v>
      </c>
      <c r="L40" s="65">
        <f t="shared" si="197"/>
        <v>-146.6333544</v>
      </c>
      <c r="M40" s="65">
        <f t="shared" ref="M40:M42" si="198">L40*(1+L$22)</f>
        <v>-149.56602148800002</v>
      </c>
      <c r="N40" s="397">
        <f t="shared" ref="N40:N42" si="199">M40*(1+M$22)</f>
        <v>-152.55734191776003</v>
      </c>
      <c r="O40" s="453">
        <f t="shared" ref="O40:O42" si="200">N40*(1+N$22)</f>
        <v>-155.60848875611524</v>
      </c>
      <c r="P40" s="376">
        <f>O40*(1+O$22)</f>
        <v>-157.94261608745694</v>
      </c>
      <c r="Q40" s="65">
        <f t="shared" ref="Q40:Q42" si="201">P40*(1+P$22)</f>
        <v>-160.31175532876878</v>
      </c>
      <c r="R40" s="65">
        <f t="shared" ref="R40:R42" si="202">Q40*(1+Q$22)</f>
        <v>-162.71643165870029</v>
      </c>
      <c r="S40" s="65">
        <f t="shared" ref="S40:S42" si="203">R40*(1+R$22)</f>
        <v>-165.15717813358077</v>
      </c>
      <c r="T40" s="65">
        <f t="shared" ref="T40:T42" si="204">S40*(1+S$22)</f>
        <v>-167.63453580558448</v>
      </c>
      <c r="U40" s="65">
        <f t="shared" ref="U40:U42" si="205">T40*(1+T$22)</f>
        <v>-170.14905384266822</v>
      </c>
      <c r="V40" s="65">
        <f t="shared" ref="V40:V42" si="206">U40*(1+U$22)</f>
        <v>-172.70128965030824</v>
      </c>
      <c r="W40" s="65">
        <f t="shared" ref="W40:W42" si="207">V40*(1+V$22)</f>
        <v>-175.29180899506284</v>
      </c>
      <c r="X40" s="65">
        <f t="shared" ref="X40:X42" si="208">W40*(1+W$22)</f>
        <v>-177.92118612998877</v>
      </c>
      <c r="Y40" s="65">
        <f t="shared" ref="Y40:Y42" si="209">X40*(1+X$22)</f>
        <v>-180.59000392193857</v>
      </c>
      <c r="Z40" s="65">
        <f t="shared" ref="Z40:Z42" si="210">Y40*(1+Y$22)</f>
        <v>-183.29885398076763</v>
      </c>
      <c r="AA40" s="65">
        <f t="shared" ref="AA40:AA42" si="211">Z40*(1+Z$22)</f>
        <v>-186.04833679047914</v>
      </c>
      <c r="AB40" s="65">
        <f t="shared" ref="AB40:AB42" si="212">AA40*(1+AA$22)</f>
        <v>-188.83906184233632</v>
      </c>
      <c r="AC40" s="65">
        <f t="shared" ref="AC40:AC42" si="213">AB40*(1+AB$22)</f>
        <v>-191.67164776997134</v>
      </c>
      <c r="AD40" s="65">
        <f t="shared" ref="AD40:AD42" si="214">AC40*(1+AC$22)</f>
        <v>-194.54672248652091</v>
      </c>
      <c r="AE40" s="65">
        <f t="shared" ref="AE40:AE42" si="215">AD40*(1+AD$22)</f>
        <v>-197.46492332381871</v>
      </c>
      <c r="AF40" s="397">
        <f t="shared" ref="AF40:AF42" si="216">AE40*(1+AE$22)</f>
        <v>-200.42689717367597</v>
      </c>
      <c r="AG40" s="65">
        <f t="shared" ref="AG40:AG42" si="217">AF40*(1+AF$22)</f>
        <v>-203.4333006312811</v>
      </c>
      <c r="AH40" s="11">
        <f t="shared" si="169"/>
        <v>0.53072460971618574</v>
      </c>
    </row>
    <row r="41" spans="1:38" hidden="1" outlineLevel="1" x14ac:dyDescent="0.35">
      <c r="C41" s="287" t="s">
        <v>37</v>
      </c>
      <c r="D41" s="59">
        <v>-29</v>
      </c>
      <c r="E41" s="51">
        <v>-31</v>
      </c>
      <c r="F41" s="52">
        <v>-32.6</v>
      </c>
      <c r="G41" s="53">
        <v>-35</v>
      </c>
      <c r="H41" s="362">
        <v>-30</v>
      </c>
      <c r="I41" s="331">
        <v>-34.5</v>
      </c>
      <c r="J41" s="376">
        <f t="shared" ref="J41:J42" si="218">I41*(1+I$22)</f>
        <v>-35.880000000000003</v>
      </c>
      <c r="K41" s="65">
        <f t="shared" si="197"/>
        <v>-36.956400000000002</v>
      </c>
      <c r="L41" s="65">
        <f t="shared" si="197"/>
        <v>-38.065092</v>
      </c>
      <c r="M41" s="65">
        <f t="shared" si="198"/>
        <v>-38.826393840000001</v>
      </c>
      <c r="N41" s="397">
        <f t="shared" si="199"/>
        <v>-39.602921716800005</v>
      </c>
      <c r="O41" s="453">
        <f t="shared" si="200"/>
        <v>-40.394980151136004</v>
      </c>
      <c r="P41" s="376">
        <f>O41*(1+O$22)</f>
        <v>-41.000904853403043</v>
      </c>
      <c r="Q41" s="65">
        <f t="shared" si="201"/>
        <v>-41.615918426204082</v>
      </c>
      <c r="R41" s="65">
        <f t="shared" si="202"/>
        <v>-42.240157202597139</v>
      </c>
      <c r="S41" s="65">
        <f t="shared" si="203"/>
        <v>-42.873759560636096</v>
      </c>
      <c r="T41" s="65">
        <f t="shared" si="204"/>
        <v>-43.516865954045635</v>
      </c>
      <c r="U41" s="65">
        <f t="shared" si="205"/>
        <v>-44.169618943356312</v>
      </c>
      <c r="V41" s="65">
        <f t="shared" si="206"/>
        <v>-44.832163227506655</v>
      </c>
      <c r="W41" s="65">
        <f t="shared" si="207"/>
        <v>-45.504645675919249</v>
      </c>
      <c r="X41" s="65">
        <f t="shared" si="208"/>
        <v>-46.187215361058037</v>
      </c>
      <c r="Y41" s="65">
        <f t="shared" si="209"/>
        <v>-46.880023591473901</v>
      </c>
      <c r="Z41" s="65">
        <f t="shared" si="210"/>
        <v>-47.583223945346006</v>
      </c>
      <c r="AA41" s="65">
        <f t="shared" si="211"/>
        <v>-48.296972304526193</v>
      </c>
      <c r="AB41" s="65">
        <f t="shared" si="212"/>
        <v>-49.02142688909408</v>
      </c>
      <c r="AC41" s="65">
        <f t="shared" si="213"/>
        <v>-49.756748292430487</v>
      </c>
      <c r="AD41" s="65">
        <f t="shared" si="214"/>
        <v>-50.503099516816938</v>
      </c>
      <c r="AE41" s="65">
        <f t="shared" si="215"/>
        <v>-51.260646009569186</v>
      </c>
      <c r="AF41" s="397">
        <f t="shared" si="216"/>
        <v>-52.029555699712716</v>
      </c>
      <c r="AG41" s="65">
        <f t="shared" si="217"/>
        <v>-52.809999035208399</v>
      </c>
      <c r="AH41" s="11">
        <f t="shared" si="169"/>
        <v>0.53072460971618551</v>
      </c>
    </row>
    <row r="42" spans="1:38" hidden="1" outlineLevel="1" x14ac:dyDescent="0.35">
      <c r="C42" s="287" t="s">
        <v>38</v>
      </c>
      <c r="D42" s="59">
        <v>-41</v>
      </c>
      <c r="E42" s="51">
        <v>-38.5</v>
      </c>
      <c r="F42" s="52">
        <v>-35.299999999999997</v>
      </c>
      <c r="G42" s="53">
        <v>-71</v>
      </c>
      <c r="H42" s="362">
        <v>-56</v>
      </c>
      <c r="I42" s="331">
        <v>-55.1</v>
      </c>
      <c r="J42" s="376">
        <f t="shared" si="218"/>
        <v>-57.304000000000002</v>
      </c>
      <c r="K42" s="65">
        <f t="shared" si="197"/>
        <v>-59.023120000000006</v>
      </c>
      <c r="L42" s="65">
        <f t="shared" si="197"/>
        <v>-60.793813600000007</v>
      </c>
      <c r="M42" s="65">
        <f t="shared" si="198"/>
        <v>-62.00968987200001</v>
      </c>
      <c r="N42" s="397">
        <f t="shared" si="199"/>
        <v>-63.24988366944001</v>
      </c>
      <c r="O42" s="453">
        <f t="shared" si="200"/>
        <v>-64.514881342828815</v>
      </c>
      <c r="P42" s="376">
        <f>O42*(1+O$22)</f>
        <v>-65.482604562971247</v>
      </c>
      <c r="Q42" s="65">
        <f t="shared" si="201"/>
        <v>-66.464843631415803</v>
      </c>
      <c r="R42" s="65">
        <f t="shared" si="202"/>
        <v>-67.461816285887039</v>
      </c>
      <c r="S42" s="65">
        <f t="shared" si="203"/>
        <v>-68.473743530175341</v>
      </c>
      <c r="T42" s="65">
        <f t="shared" si="204"/>
        <v>-69.500849683127967</v>
      </c>
      <c r="U42" s="65">
        <f t="shared" si="205"/>
        <v>-70.543362428374877</v>
      </c>
      <c r="V42" s="65">
        <f t="shared" si="206"/>
        <v>-71.601512864800497</v>
      </c>
      <c r="W42" s="65">
        <f t="shared" si="207"/>
        <v>-72.675535557772491</v>
      </c>
      <c r="X42" s="65">
        <f t="shared" si="208"/>
        <v>-73.765668591139075</v>
      </c>
      <c r="Y42" s="65">
        <f t="shared" si="209"/>
        <v>-74.872153620006159</v>
      </c>
      <c r="Z42" s="65">
        <f t="shared" si="210"/>
        <v>-75.995235924306243</v>
      </c>
      <c r="AA42" s="65">
        <f t="shared" si="211"/>
        <v>-77.135164463170824</v>
      </c>
      <c r="AB42" s="65">
        <f t="shared" si="212"/>
        <v>-78.292191930118378</v>
      </c>
      <c r="AC42" s="65">
        <f t="shared" si="213"/>
        <v>-79.466574809070153</v>
      </c>
      <c r="AD42" s="65">
        <f t="shared" si="214"/>
        <v>-80.658573431206193</v>
      </c>
      <c r="AE42" s="65">
        <f t="shared" si="215"/>
        <v>-81.868452032674284</v>
      </c>
      <c r="AF42" s="397">
        <f t="shared" si="216"/>
        <v>-83.096478813164396</v>
      </c>
      <c r="AG42" s="65">
        <f t="shared" si="217"/>
        <v>-84.342925995361853</v>
      </c>
      <c r="AH42" s="11">
        <f t="shared" si="169"/>
        <v>0.53072460971618607</v>
      </c>
    </row>
    <row r="43" spans="1:38" hidden="1" outlineLevel="1" x14ac:dyDescent="0.35">
      <c r="C43" s="287" t="s">
        <v>130</v>
      </c>
      <c r="D43" s="59">
        <v>-14</v>
      </c>
      <c r="E43" s="51">
        <v>-14</v>
      </c>
      <c r="F43" s="52">
        <f>-14.8</f>
        <v>-14.8</v>
      </c>
      <c r="G43" s="53">
        <v>-17</v>
      </c>
      <c r="H43" s="362">
        <v>-16.5</v>
      </c>
      <c r="I43" s="331">
        <f t="shared" ref="I43:L43" si="219">H43*(1+H22)</f>
        <v>-17.82</v>
      </c>
      <c r="J43" s="375">
        <f t="shared" si="219"/>
        <v>-18.532800000000002</v>
      </c>
      <c r="K43" s="56">
        <f t="shared" si="219"/>
        <v>-19.088784000000004</v>
      </c>
      <c r="L43" s="56">
        <f t="shared" si="219"/>
        <v>-19.661447520000003</v>
      </c>
      <c r="M43" s="56">
        <f t="shared" ref="M43" si="220">L43*(1+L22)</f>
        <v>-20.054676470400004</v>
      </c>
      <c r="N43" s="395">
        <f t="shared" ref="N43" si="221">M43*(1+M22)</f>
        <v>-20.455769999808005</v>
      </c>
      <c r="O43" s="454">
        <f t="shared" ref="O43" si="222">N43*(1+N22)</f>
        <v>-20.864885399804166</v>
      </c>
      <c r="P43" s="375">
        <f>O43*(1+O22)</f>
        <v>-21.177858680801226</v>
      </c>
      <c r="Q43" s="56">
        <f t="shared" ref="Q43" si="223">P43*(1+P22)</f>
        <v>-21.495526561013243</v>
      </c>
      <c r="R43" s="56">
        <f t="shared" ref="R43" si="224">Q43*(1+Q22)</f>
        <v>-21.81795945942844</v>
      </c>
      <c r="S43" s="56">
        <f t="shared" ref="S43" si="225">R43*(1+R22)</f>
        <v>-22.145228851319864</v>
      </c>
      <c r="T43" s="56">
        <f t="shared" ref="T43" si="226">S43*(1+S22)</f>
        <v>-22.477407284089658</v>
      </c>
      <c r="U43" s="56">
        <f t="shared" ref="U43" si="227">T43*(1+T22)</f>
        <v>-22.814568393350999</v>
      </c>
      <c r="V43" s="56">
        <f t="shared" ref="V43" si="228">U43*(1+U22)</f>
        <v>-23.15678691925126</v>
      </c>
      <c r="W43" s="56">
        <f t="shared" ref="W43" si="229">V43*(1+V22)</f>
        <v>-23.504138723040025</v>
      </c>
      <c r="X43" s="56">
        <f t="shared" ref="X43" si="230">W43*(1+W22)</f>
        <v>-23.856700803885623</v>
      </c>
      <c r="Y43" s="56">
        <f t="shared" ref="Y43" si="231">X43*(1+X22)</f>
        <v>-24.214551315943904</v>
      </c>
      <c r="Z43" s="56">
        <f t="shared" ref="Z43" si="232">Y43*(1+Y22)</f>
        <v>-24.577769585683061</v>
      </c>
      <c r="AA43" s="56">
        <f t="shared" ref="AA43" si="233">Z43*(1+Z22)</f>
        <v>-24.946436129468303</v>
      </c>
      <c r="AB43" s="56">
        <f t="shared" ref="AB43" si="234">AA43*(1+AA22)</f>
        <v>-25.320632671410326</v>
      </c>
      <c r="AC43" s="56">
        <f t="shared" ref="AC43" si="235">AB43*(1+AB22)</f>
        <v>-25.70044216148148</v>
      </c>
      <c r="AD43" s="56">
        <f t="shared" ref="AD43" si="236">AC43*(1+AC22)</f>
        <v>-26.0859487939037</v>
      </c>
      <c r="AE43" s="56">
        <f t="shared" ref="AE43" si="237">AD43*(1+AD22)</f>
        <v>-26.477238025812252</v>
      </c>
      <c r="AF43" s="395">
        <f t="shared" ref="AF43" si="238">AE43*(1+AE22)</f>
        <v>-26.874396596199432</v>
      </c>
      <c r="AG43" s="56">
        <f t="shared" ref="AG43" si="239">AF43*(1+AF22)</f>
        <v>-27.277512545142422</v>
      </c>
      <c r="AH43" s="11">
        <f t="shared" si="169"/>
        <v>0.53072460971618529</v>
      </c>
    </row>
    <row r="44" spans="1:38" hidden="1" outlineLevel="1" x14ac:dyDescent="0.35">
      <c r="C44" s="287" t="s">
        <v>39</v>
      </c>
      <c r="D44" s="59">
        <v>0</v>
      </c>
      <c r="E44" s="51">
        <v>0</v>
      </c>
      <c r="F44" s="52">
        <f>-F20</f>
        <v>0</v>
      </c>
      <c r="G44" s="53">
        <f t="shared" ref="G44:H44" si="240">-G20</f>
        <v>0</v>
      </c>
      <c r="H44" s="360">
        <f t="shared" si="240"/>
        <v>0</v>
      </c>
      <c r="I44" s="60">
        <f>-0.001*I20</f>
        <v>-12</v>
      </c>
      <c r="J44" s="64">
        <f t="shared" ref="J44:L44" si="241">-0.001*J20</f>
        <v>-12</v>
      </c>
      <c r="K44" s="64">
        <f t="shared" si="241"/>
        <v>-12</v>
      </c>
      <c r="L44" s="64">
        <f t="shared" si="241"/>
        <v>-12</v>
      </c>
      <c r="M44" s="64">
        <f t="shared" ref="M44:AG44" si="242">-0.001*M20</f>
        <v>-12</v>
      </c>
      <c r="N44" s="398">
        <f t="shared" si="242"/>
        <v>-12</v>
      </c>
      <c r="O44" s="63">
        <f t="shared" si="242"/>
        <v>-12</v>
      </c>
      <c r="P44" s="64">
        <f t="shared" si="242"/>
        <v>-12</v>
      </c>
      <c r="Q44" s="64">
        <f t="shared" si="242"/>
        <v>-12</v>
      </c>
      <c r="R44" s="64">
        <f t="shared" si="242"/>
        <v>-12</v>
      </c>
      <c r="S44" s="64">
        <f t="shared" si="242"/>
        <v>-12</v>
      </c>
      <c r="T44" s="64">
        <f t="shared" si="242"/>
        <v>-12</v>
      </c>
      <c r="U44" s="64">
        <f t="shared" si="242"/>
        <v>-12</v>
      </c>
      <c r="V44" s="64">
        <f t="shared" si="242"/>
        <v>-12</v>
      </c>
      <c r="W44" s="64">
        <f t="shared" si="242"/>
        <v>-12</v>
      </c>
      <c r="X44" s="64">
        <f t="shared" si="242"/>
        <v>-12</v>
      </c>
      <c r="Y44" s="64">
        <f t="shared" si="242"/>
        <v>-12</v>
      </c>
      <c r="Z44" s="64">
        <f t="shared" si="242"/>
        <v>-12</v>
      </c>
      <c r="AA44" s="64">
        <f t="shared" si="242"/>
        <v>-12</v>
      </c>
      <c r="AB44" s="64">
        <f t="shared" si="242"/>
        <v>-12</v>
      </c>
      <c r="AC44" s="64">
        <f t="shared" si="242"/>
        <v>-12</v>
      </c>
      <c r="AD44" s="64">
        <f t="shared" si="242"/>
        <v>-12</v>
      </c>
      <c r="AE44" s="64">
        <f t="shared" si="242"/>
        <v>-12</v>
      </c>
      <c r="AF44" s="398">
        <f t="shared" si="242"/>
        <v>-12</v>
      </c>
      <c r="AG44" s="100">
        <f t="shared" si="242"/>
        <v>-12</v>
      </c>
      <c r="AH44" s="11">
        <f t="shared" si="169"/>
        <v>0</v>
      </c>
    </row>
    <row r="45" spans="1:38" s="21" customFormat="1" collapsed="1" x14ac:dyDescent="0.35">
      <c r="C45" s="288" t="s">
        <v>40</v>
      </c>
      <c r="D45" s="66">
        <f>D33+SUM(D40:D44)</f>
        <v>37.189320000000009</v>
      </c>
      <c r="E45" s="66">
        <f t="shared" ref="E45:L45" si="243">E33+SUM(E40:E44)</f>
        <v>35.330000000000013</v>
      </c>
      <c r="F45" s="66">
        <f t="shared" si="243"/>
        <v>38.346000000000004</v>
      </c>
      <c r="G45" s="67">
        <f t="shared" si="243"/>
        <v>6.0984151450725221</v>
      </c>
      <c r="H45" s="363">
        <f t="shared" si="243"/>
        <v>41.406949057862278</v>
      </c>
      <c r="I45" s="68">
        <f>I33+SUM(I40:I44)</f>
        <v>49.48920835542458</v>
      </c>
      <c r="J45" s="69">
        <f t="shared" si="243"/>
        <v>51.442221261877819</v>
      </c>
      <c r="K45" s="431">
        <f t="shared" si="243"/>
        <v>66.924789111134714</v>
      </c>
      <c r="L45" s="431">
        <f t="shared" si="243"/>
        <v>91.088109837353898</v>
      </c>
      <c r="M45" s="431">
        <f t="shared" ref="M45:AG45" si="244">M33+SUM(M40:M44)</f>
        <v>108.3335385725066</v>
      </c>
      <c r="N45" s="432">
        <f t="shared" si="244"/>
        <v>125.93031339432628</v>
      </c>
      <c r="O45" s="68">
        <f t="shared" si="244"/>
        <v>151.84538529980512</v>
      </c>
      <c r="P45" s="69">
        <f t="shared" si="244"/>
        <v>169.97682736035449</v>
      </c>
      <c r="Q45" s="431">
        <f t="shared" si="244"/>
        <v>188.04495819288275</v>
      </c>
      <c r="R45" s="431">
        <f t="shared" si="244"/>
        <v>207.67160491602255</v>
      </c>
      <c r="S45" s="431">
        <f t="shared" si="244"/>
        <v>228.85580361632731</v>
      </c>
      <c r="T45" s="431">
        <f t="shared" si="244"/>
        <v>252.31629320931359</v>
      </c>
      <c r="U45" s="431">
        <f t="shared" si="244"/>
        <v>264.53349127488423</v>
      </c>
      <c r="V45" s="431">
        <f t="shared" si="244"/>
        <v>287.85858046489</v>
      </c>
      <c r="W45" s="431">
        <f t="shared" si="244"/>
        <v>311.11444241908413</v>
      </c>
      <c r="X45" s="431">
        <f t="shared" si="244"/>
        <v>333.58032144126418</v>
      </c>
      <c r="Y45" s="431">
        <f t="shared" si="244"/>
        <v>345.51850282444656</v>
      </c>
      <c r="Z45" s="431">
        <f t="shared" si="244"/>
        <v>368.56039008182802</v>
      </c>
      <c r="AA45" s="431">
        <f t="shared" si="244"/>
        <v>391.5288020744087</v>
      </c>
      <c r="AB45" s="431">
        <f t="shared" si="244"/>
        <v>406.49209494967346</v>
      </c>
      <c r="AC45" s="431">
        <f t="shared" si="244"/>
        <v>429.31023349380115</v>
      </c>
      <c r="AD45" s="431">
        <f t="shared" si="244"/>
        <v>448.08626968065784</v>
      </c>
      <c r="AE45" s="431">
        <f t="shared" si="244"/>
        <v>470.74959276135309</v>
      </c>
      <c r="AF45" s="432">
        <f t="shared" si="244"/>
        <v>485.40322039105445</v>
      </c>
      <c r="AG45" s="431">
        <f t="shared" si="244"/>
        <v>507.90704871093527</v>
      </c>
      <c r="AH45" s="11"/>
      <c r="AI45" s="238"/>
      <c r="AJ45" s="238"/>
      <c r="AK45" s="238"/>
      <c r="AL45" s="238"/>
    </row>
    <row r="46" spans="1:38" x14ac:dyDescent="0.35">
      <c r="C46" s="287" t="s">
        <v>41</v>
      </c>
      <c r="D46" s="59">
        <v>-50</v>
      </c>
      <c r="E46" s="51">
        <v>-50</v>
      </c>
      <c r="F46" s="52">
        <v>-30</v>
      </c>
      <c r="G46" s="53">
        <v>-40</v>
      </c>
      <c r="H46" s="360">
        <v>-40</v>
      </c>
      <c r="I46" s="60">
        <v>-40</v>
      </c>
      <c r="J46" s="441">
        <v>-50</v>
      </c>
      <c r="K46" s="441">
        <v>-70</v>
      </c>
      <c r="L46" s="441">
        <v>-90</v>
      </c>
      <c r="M46" s="441">
        <v>-110</v>
      </c>
      <c r="N46" s="443">
        <v>-130</v>
      </c>
      <c r="O46" s="60">
        <v>-150</v>
      </c>
      <c r="P46" s="441">
        <v>-170</v>
      </c>
      <c r="Q46" s="441">
        <v>-190</v>
      </c>
      <c r="R46" s="441">
        <v>-210</v>
      </c>
      <c r="S46" s="441">
        <v>-230</v>
      </c>
      <c r="T46" s="441">
        <v>-250</v>
      </c>
      <c r="U46" s="441">
        <v>-270</v>
      </c>
      <c r="V46" s="441">
        <v>-290</v>
      </c>
      <c r="W46" s="441">
        <v>-310</v>
      </c>
      <c r="X46" s="441">
        <v>-330</v>
      </c>
      <c r="Y46" s="441">
        <v>-350</v>
      </c>
      <c r="Z46" s="441">
        <v>-370</v>
      </c>
      <c r="AA46" s="441">
        <v>-390</v>
      </c>
      <c r="AB46" s="441">
        <v>-410</v>
      </c>
      <c r="AC46" s="441">
        <v>-430</v>
      </c>
      <c r="AD46" s="441">
        <v>-450</v>
      </c>
      <c r="AE46" s="441">
        <v>-470</v>
      </c>
      <c r="AF46" s="443">
        <v>-490</v>
      </c>
      <c r="AG46" s="449">
        <v>-510</v>
      </c>
      <c r="AH46" s="11">
        <f t="shared" si="169"/>
        <v>11.75</v>
      </c>
    </row>
    <row r="47" spans="1:38" s="70" customFormat="1" ht="15" thickBot="1" x14ac:dyDescent="0.4">
      <c r="C47" s="289" t="s">
        <v>116</v>
      </c>
      <c r="D47" s="168">
        <f>E32</f>
        <v>35.169999999999987</v>
      </c>
      <c r="E47" s="171">
        <f>F32</f>
        <v>20.5</v>
      </c>
      <c r="F47" s="171">
        <f>F32+F45+F46</f>
        <v>28.846000000000004</v>
      </c>
      <c r="G47" s="169">
        <f>G32+G45+G46</f>
        <v>-5.0555848549274742</v>
      </c>
      <c r="H47" s="364">
        <f t="shared" ref="H47:L47" si="245">H32+H45+H46</f>
        <v>-3.6486357970651966</v>
      </c>
      <c r="I47" s="170">
        <f>I32+I45+I46</f>
        <v>5.8405725583593835</v>
      </c>
      <c r="J47" s="171">
        <f t="shared" si="245"/>
        <v>7.2827938202372025</v>
      </c>
      <c r="K47" s="168">
        <f t="shared" si="245"/>
        <v>4.2075829313719169</v>
      </c>
      <c r="L47" s="168">
        <f t="shared" si="245"/>
        <v>5.2956927687258144</v>
      </c>
      <c r="M47" s="168">
        <f t="shared" ref="M47:AG47" si="246">M32+M45+M46</f>
        <v>3.629231341232412</v>
      </c>
      <c r="N47" s="433">
        <f t="shared" si="246"/>
        <v>-0.44045526444131156</v>
      </c>
      <c r="O47" s="170">
        <f t="shared" si="246"/>
        <v>1.4049300353638046</v>
      </c>
      <c r="P47" s="171">
        <f t="shared" si="246"/>
        <v>1.3817573957182958</v>
      </c>
      <c r="Q47" s="168">
        <f t="shared" si="246"/>
        <v>-0.57328441139895858</v>
      </c>
      <c r="R47" s="168">
        <f t="shared" si="246"/>
        <v>-2.9016794953764133</v>
      </c>
      <c r="S47" s="168">
        <f t="shared" si="246"/>
        <v>-4.0458758790491061</v>
      </c>
      <c r="T47" s="168">
        <f t="shared" si="246"/>
        <v>-1.729582669735521</v>
      </c>
      <c r="U47" s="168">
        <f t="shared" si="246"/>
        <v>-7.1960913948512939</v>
      </c>
      <c r="V47" s="168">
        <f t="shared" si="246"/>
        <v>-9.3375109299612973</v>
      </c>
      <c r="W47" s="168">
        <f t="shared" si="246"/>
        <v>-8.2230685108771695</v>
      </c>
      <c r="X47" s="168">
        <f t="shared" si="246"/>
        <v>-4.6427470696129944</v>
      </c>
      <c r="Y47" s="168">
        <f t="shared" si="246"/>
        <v>-9.1242442451664374</v>
      </c>
      <c r="Z47" s="168">
        <f t="shared" si="246"/>
        <v>-10.563854163338419</v>
      </c>
      <c r="AA47" s="168">
        <f t="shared" si="246"/>
        <v>-9.0350520889297172</v>
      </c>
      <c r="AB47" s="168">
        <f t="shared" si="246"/>
        <v>-12.542957139256259</v>
      </c>
      <c r="AC47" s="168">
        <f t="shared" si="246"/>
        <v>-13.23272364545511</v>
      </c>
      <c r="AD47" s="168">
        <f t="shared" si="246"/>
        <v>-15.146453964797274</v>
      </c>
      <c r="AE47" s="168">
        <f t="shared" si="246"/>
        <v>-14.396861203444189</v>
      </c>
      <c r="AF47" s="433">
        <f t="shared" si="246"/>
        <v>-18.993640812389742</v>
      </c>
      <c r="AG47" s="168">
        <f t="shared" si="246"/>
        <v>-21.086592101454471</v>
      </c>
      <c r="AH47" s="11"/>
      <c r="AI47" s="239"/>
      <c r="AJ47" s="239"/>
      <c r="AK47" s="239"/>
      <c r="AL47" s="239"/>
    </row>
    <row r="48" spans="1:38" ht="15" thickBot="1" x14ac:dyDescent="0.4">
      <c r="C48" s="290"/>
      <c r="D48" s="291"/>
      <c r="E48" s="291"/>
      <c r="F48" s="291"/>
      <c r="G48" s="291"/>
      <c r="H48" s="291"/>
      <c r="I48" s="383"/>
      <c r="J48" s="291"/>
      <c r="K48" s="291"/>
      <c r="L48" s="291"/>
      <c r="M48" s="291"/>
      <c r="N48" s="291"/>
      <c r="O48" s="383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420"/>
    </row>
    <row r="49" spans="2:35" ht="15.5" x14ac:dyDescent="0.35">
      <c r="C49" s="292" t="s">
        <v>42</v>
      </c>
      <c r="D49" s="45"/>
      <c r="E49" s="46"/>
      <c r="F49" s="47"/>
      <c r="G49" s="48"/>
      <c r="H49" s="358"/>
      <c r="I49" s="49"/>
      <c r="J49" s="47"/>
      <c r="K49" s="50"/>
      <c r="L49" s="50"/>
      <c r="M49" s="50"/>
      <c r="N49" s="394"/>
      <c r="O49" s="49"/>
      <c r="P49" s="47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394"/>
      <c r="AG49" s="50"/>
    </row>
    <row r="50" spans="2:35" x14ac:dyDescent="0.35">
      <c r="C50" s="288" t="s">
        <v>43</v>
      </c>
      <c r="D50" s="59"/>
      <c r="E50" s="51"/>
      <c r="F50" s="52">
        <v>211</v>
      </c>
      <c r="G50" s="53">
        <f>F72</f>
        <v>235</v>
      </c>
      <c r="H50" s="359">
        <f>G72</f>
        <v>275</v>
      </c>
      <c r="I50" s="54">
        <f t="shared" ref="I50:L50" si="247">H72</f>
        <v>270.02</v>
      </c>
      <c r="J50" s="55">
        <f>I72</f>
        <v>280.9091676965092</v>
      </c>
      <c r="K50" s="75">
        <f t="shared" si="247"/>
        <v>270.40323586123827</v>
      </c>
      <c r="L50" s="75">
        <f t="shared" si="247"/>
        <v>234.98534057635999</v>
      </c>
      <c r="M50" s="75">
        <f t="shared" ref="M50" si="248">L72</f>
        <v>278.32744529148169</v>
      </c>
      <c r="N50" s="396">
        <f t="shared" ref="N50" si="249">M72</f>
        <v>235.34719386707451</v>
      </c>
      <c r="O50" s="54">
        <f t="shared" ref="O50" si="250">N72</f>
        <v>210.12694244266734</v>
      </c>
      <c r="P50" s="55">
        <f>O72</f>
        <v>150.72669101826011</v>
      </c>
      <c r="Q50" s="75">
        <f t="shared" ref="Q50" si="251">P72</f>
        <v>-36.518272685204806</v>
      </c>
      <c r="R50" s="75">
        <f t="shared" ref="R50" si="252">Q72</f>
        <v>-26.943236388669732</v>
      </c>
      <c r="S50" s="75">
        <f t="shared" ref="S50" si="253">R72</f>
        <v>34.951799907865393</v>
      </c>
      <c r="T50" s="75">
        <f t="shared" ref="T50" si="254">S72</f>
        <v>92.557984710610668</v>
      </c>
      <c r="U50" s="75">
        <f t="shared" ref="U50" si="255">T72</f>
        <v>-93.565830486644074</v>
      </c>
      <c r="V50" s="75">
        <f t="shared" ref="V50" si="256">U72</f>
        <v>-99.619645683898781</v>
      </c>
      <c r="W50" s="75">
        <f t="shared" ref="W50" si="257">V72</f>
        <v>5.8965391188464196</v>
      </c>
      <c r="X50" s="75">
        <f t="shared" ref="X50" si="258">W72</f>
        <v>-0.41877113547437261</v>
      </c>
      <c r="Y50" s="75">
        <f t="shared" ref="Y50" si="259">X72</f>
        <v>-185.81408138979509</v>
      </c>
      <c r="Z50" s="75">
        <f t="shared" ref="Z50" si="260">Y72</f>
        <v>-144.03939164411588</v>
      </c>
      <c r="AA50" s="75">
        <f t="shared" ref="AA50" si="261">Z72</f>
        <v>-19.69470189843662</v>
      </c>
      <c r="AB50" s="75">
        <f t="shared" ref="AB50" si="262">AA72</f>
        <v>-49.738863646547202</v>
      </c>
      <c r="AC50" s="75">
        <f t="shared" ref="AC50" si="263">AB72</f>
        <v>169.78697460534227</v>
      </c>
      <c r="AD50" s="75">
        <f t="shared" ref="AD50" si="264">AC72</f>
        <v>108.53791238901175</v>
      </c>
      <c r="AE50" s="75">
        <f t="shared" ref="AE50" si="265">AD72</f>
        <v>57.610813622288788</v>
      </c>
      <c r="AF50" s="396">
        <f t="shared" ref="AF50" si="266">AE72</f>
        <v>142.72871485556573</v>
      </c>
      <c r="AG50" s="75">
        <f t="shared" ref="AG50" si="267">AF72</f>
        <v>519.52397222837158</v>
      </c>
    </row>
    <row r="51" spans="2:35" x14ac:dyDescent="0.35">
      <c r="C51" s="287" t="s">
        <v>44</v>
      </c>
      <c r="D51" s="59"/>
      <c r="E51" s="51"/>
      <c r="F51" s="52">
        <f>-1*F46</f>
        <v>30</v>
      </c>
      <c r="G51" s="52">
        <f>-1*G46</f>
        <v>40</v>
      </c>
      <c r="H51" s="359">
        <f t="shared" ref="H51:I51" si="268">-1*H46</f>
        <v>40</v>
      </c>
      <c r="I51" s="54">
        <f t="shared" si="268"/>
        <v>40</v>
      </c>
      <c r="J51" s="55">
        <f t="shared" ref="J51:O51" si="269">-1*J46</f>
        <v>50</v>
      </c>
      <c r="K51" s="75">
        <f t="shared" si="269"/>
        <v>70</v>
      </c>
      <c r="L51" s="75">
        <f t="shared" si="269"/>
        <v>90</v>
      </c>
      <c r="M51" s="75">
        <f t="shared" si="269"/>
        <v>110</v>
      </c>
      <c r="N51" s="396">
        <f t="shared" si="269"/>
        <v>130</v>
      </c>
      <c r="O51" s="54">
        <f t="shared" si="269"/>
        <v>150</v>
      </c>
      <c r="P51" s="55">
        <f t="shared" ref="P51:AG51" si="270">-1*P46</f>
        <v>170</v>
      </c>
      <c r="Q51" s="75">
        <f t="shared" si="270"/>
        <v>190</v>
      </c>
      <c r="R51" s="75">
        <f t="shared" si="270"/>
        <v>210</v>
      </c>
      <c r="S51" s="75">
        <f t="shared" si="270"/>
        <v>230</v>
      </c>
      <c r="T51" s="75">
        <f t="shared" si="270"/>
        <v>250</v>
      </c>
      <c r="U51" s="75">
        <f t="shared" si="270"/>
        <v>270</v>
      </c>
      <c r="V51" s="75">
        <f t="shared" si="270"/>
        <v>290</v>
      </c>
      <c r="W51" s="75">
        <f t="shared" si="270"/>
        <v>310</v>
      </c>
      <c r="X51" s="75">
        <f t="shared" si="270"/>
        <v>330</v>
      </c>
      <c r="Y51" s="75">
        <f t="shared" si="270"/>
        <v>350</v>
      </c>
      <c r="Z51" s="75">
        <f t="shared" si="270"/>
        <v>370</v>
      </c>
      <c r="AA51" s="75">
        <f t="shared" si="270"/>
        <v>390</v>
      </c>
      <c r="AB51" s="75">
        <f t="shared" si="270"/>
        <v>410</v>
      </c>
      <c r="AC51" s="75">
        <f t="shared" si="270"/>
        <v>430</v>
      </c>
      <c r="AD51" s="75">
        <f t="shared" si="270"/>
        <v>450</v>
      </c>
      <c r="AE51" s="75">
        <f t="shared" si="270"/>
        <v>470</v>
      </c>
      <c r="AF51" s="396">
        <f t="shared" si="270"/>
        <v>490</v>
      </c>
      <c r="AG51" s="75">
        <f t="shared" si="270"/>
        <v>510</v>
      </c>
      <c r="AH51" s="11">
        <f>(AG51-I51)/I51</f>
        <v>11.75</v>
      </c>
    </row>
    <row r="52" spans="2:35" x14ac:dyDescent="0.35">
      <c r="C52" s="293" t="s">
        <v>45</v>
      </c>
      <c r="D52" s="78"/>
      <c r="E52" s="79"/>
      <c r="F52" s="61"/>
      <c r="G52" s="80"/>
      <c r="H52" s="365">
        <v>30</v>
      </c>
      <c r="I52" s="335">
        <v>70</v>
      </c>
      <c r="J52" s="336">
        <v>125</v>
      </c>
      <c r="K52" s="337"/>
      <c r="L52" s="337">
        <v>150</v>
      </c>
      <c r="M52" s="337">
        <v>0</v>
      </c>
      <c r="N52" s="399">
        <v>0</v>
      </c>
      <c r="O52" s="335">
        <v>300</v>
      </c>
      <c r="P52" s="336">
        <v>0</v>
      </c>
      <c r="Q52" s="337"/>
      <c r="R52" s="337">
        <v>400</v>
      </c>
      <c r="S52" s="337">
        <v>0</v>
      </c>
      <c r="T52" s="337">
        <v>0</v>
      </c>
      <c r="U52" s="337">
        <v>0</v>
      </c>
      <c r="V52" s="337">
        <v>350</v>
      </c>
      <c r="W52" s="337">
        <v>0</v>
      </c>
      <c r="X52" s="337">
        <v>0</v>
      </c>
      <c r="Y52" s="337">
        <v>0</v>
      </c>
      <c r="Z52" s="337">
        <v>400</v>
      </c>
      <c r="AA52" s="337">
        <v>0</v>
      </c>
      <c r="AB52" s="337">
        <v>0</v>
      </c>
      <c r="AC52" s="337">
        <v>0</v>
      </c>
      <c r="AD52" s="337">
        <v>0</v>
      </c>
      <c r="AE52" s="337">
        <v>0</v>
      </c>
      <c r="AF52" s="399">
        <v>0</v>
      </c>
      <c r="AG52" s="337">
        <v>0</v>
      </c>
    </row>
    <row r="53" spans="2:35" x14ac:dyDescent="0.35">
      <c r="C53" s="293" t="s">
        <v>46</v>
      </c>
      <c r="D53" s="78"/>
      <c r="E53" s="79"/>
      <c r="F53" s="61"/>
      <c r="G53" s="80"/>
      <c r="H53" s="366">
        <f>H177</f>
        <v>0</v>
      </c>
      <c r="I53" s="81">
        <f t="shared" ref="I53:AG53" si="271">I177</f>
        <v>-2.1108323034907861</v>
      </c>
      <c r="J53" s="82">
        <f t="shared" si="271"/>
        <v>-6.8159318352709253</v>
      </c>
      <c r="K53" s="82">
        <f t="shared" si="271"/>
        <v>-15.217895284878317</v>
      </c>
      <c r="L53" s="82">
        <f t="shared" si="271"/>
        <v>-15.217895284878317</v>
      </c>
      <c r="M53" s="82">
        <f t="shared" si="271"/>
        <v>-25.300251424407186</v>
      </c>
      <c r="N53" s="400">
        <f t="shared" si="271"/>
        <v>-25.300251424407186</v>
      </c>
      <c r="O53" s="98">
        <f t="shared" si="271"/>
        <v>-25.300251424407186</v>
      </c>
      <c r="P53" s="82">
        <f t="shared" si="271"/>
        <v>-45.464963703464917</v>
      </c>
      <c r="Q53" s="82">
        <f t="shared" si="271"/>
        <v>-45.464963703464917</v>
      </c>
      <c r="R53" s="82">
        <f t="shared" si="271"/>
        <v>-45.464963703464917</v>
      </c>
      <c r="S53" s="82">
        <f t="shared" si="271"/>
        <v>-71.1238151972547</v>
      </c>
      <c r="T53" s="82">
        <f t="shared" si="271"/>
        <v>-71.1238151972547</v>
      </c>
      <c r="U53" s="82">
        <f t="shared" si="271"/>
        <v>-71.1238151972547</v>
      </c>
      <c r="V53" s="82">
        <f t="shared" si="271"/>
        <v>-71.1238151972547</v>
      </c>
      <c r="W53" s="82">
        <f t="shared" si="271"/>
        <v>-93.575310254320755</v>
      </c>
      <c r="X53" s="82">
        <f t="shared" si="271"/>
        <v>-93.575310254320755</v>
      </c>
      <c r="Y53" s="82">
        <f t="shared" si="271"/>
        <v>-93.575310254320755</v>
      </c>
      <c r="Z53" s="82">
        <f t="shared" si="271"/>
        <v>-93.575310254320755</v>
      </c>
      <c r="AA53" s="82">
        <f t="shared" si="271"/>
        <v>-119.23416174811054</v>
      </c>
      <c r="AB53" s="82">
        <f t="shared" si="271"/>
        <v>-119.23416174811054</v>
      </c>
      <c r="AC53" s="82">
        <f t="shared" si="271"/>
        <v>-114.5290622163304</v>
      </c>
      <c r="AD53" s="82">
        <f t="shared" si="271"/>
        <v>-106.12709876672301</v>
      </c>
      <c r="AE53" s="82">
        <f t="shared" si="271"/>
        <v>-106.12709876672301</v>
      </c>
      <c r="AF53" s="400">
        <f t="shared" si="271"/>
        <v>-96.04474262719414</v>
      </c>
      <c r="AG53" s="58">
        <f t="shared" si="271"/>
        <v>-96.04474262719414</v>
      </c>
    </row>
    <row r="54" spans="2:35" x14ac:dyDescent="0.35">
      <c r="C54" s="293" t="s">
        <v>252</v>
      </c>
      <c r="D54" s="78"/>
      <c r="E54" s="79"/>
      <c r="F54" s="61">
        <f>-SUM(F55:F71)</f>
        <v>-6</v>
      </c>
      <c r="G54" s="80">
        <f>-SUM(G55:G71)</f>
        <v>0</v>
      </c>
      <c r="H54" s="366">
        <f>-SUM(H55:H71)</f>
        <v>-74.98</v>
      </c>
      <c r="I54" s="81">
        <f>-SUM(I55:I71)</f>
        <v>-97</v>
      </c>
      <c r="J54" s="83">
        <f t="shared" ref="J54:AG54" si="272">-SUM(J55:J71)*(1+J23)</f>
        <v>-178.69</v>
      </c>
      <c r="K54" s="83">
        <f t="shared" si="272"/>
        <v>-90.2</v>
      </c>
      <c r="L54" s="83">
        <f t="shared" si="272"/>
        <v>-181.44000000000003</v>
      </c>
      <c r="M54" s="83">
        <f t="shared" si="272"/>
        <v>-127.68</v>
      </c>
      <c r="N54" s="377">
        <f t="shared" si="272"/>
        <v>-129.91999999999999</v>
      </c>
      <c r="O54" s="81">
        <f t="shared" si="272"/>
        <v>-484.1</v>
      </c>
      <c r="P54" s="83">
        <f t="shared" si="272"/>
        <v>-311.77999999999997</v>
      </c>
      <c r="Q54" s="83">
        <f t="shared" si="272"/>
        <v>-134.96</v>
      </c>
      <c r="R54" s="83">
        <f t="shared" si="272"/>
        <v>-502.64</v>
      </c>
      <c r="S54" s="83">
        <f t="shared" si="272"/>
        <v>-101.27000000000001</v>
      </c>
      <c r="T54" s="83">
        <f t="shared" si="272"/>
        <v>-365</v>
      </c>
      <c r="U54" s="83">
        <f t="shared" si="272"/>
        <v>-204.93</v>
      </c>
      <c r="V54" s="83">
        <f t="shared" si="272"/>
        <v>-463.36</v>
      </c>
      <c r="W54" s="83">
        <f t="shared" si="272"/>
        <v>-222.74000000000004</v>
      </c>
      <c r="X54" s="83">
        <f t="shared" si="272"/>
        <v>-421.82</v>
      </c>
      <c r="Y54" s="83">
        <f t="shared" si="272"/>
        <v>-214.65000000000003</v>
      </c>
      <c r="Z54" s="83">
        <f t="shared" si="272"/>
        <v>-552.08000000000004</v>
      </c>
      <c r="AA54" s="83">
        <f t="shared" si="272"/>
        <v>-300.81000000000006</v>
      </c>
      <c r="AB54" s="83">
        <f t="shared" si="272"/>
        <v>-71.240000000000009</v>
      </c>
      <c r="AC54" s="83">
        <f t="shared" si="272"/>
        <v>-376.72000000000008</v>
      </c>
      <c r="AD54" s="83">
        <f t="shared" si="272"/>
        <v>-394.8</v>
      </c>
      <c r="AE54" s="83">
        <f t="shared" si="272"/>
        <v>-278.75500000000005</v>
      </c>
      <c r="AF54" s="377">
        <f t="shared" si="272"/>
        <v>-17.160000000000004</v>
      </c>
      <c r="AG54" s="76">
        <f t="shared" si="272"/>
        <v>-17.340000000000003</v>
      </c>
    </row>
    <row r="55" spans="2:35" hidden="1" outlineLevel="1" x14ac:dyDescent="0.35">
      <c r="C55" s="294" t="s">
        <v>47</v>
      </c>
      <c r="D55" s="85"/>
      <c r="E55" s="86"/>
      <c r="F55" s="87">
        <v>3</v>
      </c>
      <c r="G55" s="88">
        <v>0</v>
      </c>
      <c r="H55" s="367">
        <v>1.85</v>
      </c>
      <c r="I55" s="271">
        <v>3</v>
      </c>
      <c r="J55" s="172">
        <v>3</v>
      </c>
      <c r="K55" s="173">
        <v>3</v>
      </c>
      <c r="L55" s="173">
        <v>3</v>
      </c>
      <c r="M55" s="173">
        <v>3</v>
      </c>
      <c r="N55" s="401">
        <v>3</v>
      </c>
      <c r="O55" s="271">
        <v>3</v>
      </c>
      <c r="P55" s="172">
        <v>3</v>
      </c>
      <c r="Q55" s="173">
        <v>3</v>
      </c>
      <c r="R55" s="173">
        <v>3</v>
      </c>
      <c r="S55" s="173">
        <v>3</v>
      </c>
      <c r="T55" s="173">
        <v>3</v>
      </c>
      <c r="U55" s="173">
        <v>3</v>
      </c>
      <c r="V55" s="173">
        <v>3</v>
      </c>
      <c r="W55" s="173">
        <v>3</v>
      </c>
      <c r="X55" s="173">
        <v>3</v>
      </c>
      <c r="Y55" s="173">
        <v>3</v>
      </c>
      <c r="Z55" s="173">
        <v>3</v>
      </c>
      <c r="AA55" s="173">
        <v>3</v>
      </c>
      <c r="AB55" s="173">
        <v>3</v>
      </c>
      <c r="AC55" s="173">
        <v>3</v>
      </c>
      <c r="AD55" s="173">
        <v>3</v>
      </c>
      <c r="AE55" s="173">
        <v>3</v>
      </c>
      <c r="AF55" s="401">
        <v>3</v>
      </c>
      <c r="AG55" s="173">
        <v>3</v>
      </c>
      <c r="AI55"/>
    </row>
    <row r="56" spans="2:35" hidden="1" outlineLevel="1" x14ac:dyDescent="0.35">
      <c r="C56" s="293" t="s">
        <v>48</v>
      </c>
      <c r="D56" s="78"/>
      <c r="E56" s="79"/>
      <c r="F56" s="61"/>
      <c r="G56" s="80"/>
      <c r="H56" s="366">
        <v>5.43</v>
      </c>
      <c r="I56" s="98"/>
      <c r="J56" s="82"/>
      <c r="K56" s="58"/>
      <c r="L56" s="58"/>
      <c r="M56" s="58"/>
      <c r="N56" s="402"/>
      <c r="O56" s="98"/>
      <c r="P56" s="82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402"/>
      <c r="AG56" s="58"/>
    </row>
    <row r="57" spans="2:35" hidden="1" outlineLevel="1" x14ac:dyDescent="0.35">
      <c r="C57" s="293" t="s">
        <v>214</v>
      </c>
      <c r="D57" s="78"/>
      <c r="E57" s="79"/>
      <c r="F57" s="61"/>
      <c r="G57" s="80"/>
      <c r="H57" s="366"/>
      <c r="I57" s="98">
        <v>10</v>
      </c>
      <c r="J57" s="82"/>
      <c r="K57" s="58"/>
      <c r="L57" s="58"/>
      <c r="M57" s="58"/>
      <c r="N57" s="402"/>
      <c r="O57" s="98"/>
      <c r="P57" s="82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402"/>
      <c r="AG57" s="58"/>
    </row>
    <row r="58" spans="2:35" hidden="1" outlineLevel="1" x14ac:dyDescent="0.35">
      <c r="C58" s="293" t="s">
        <v>49</v>
      </c>
      <c r="D58" s="78"/>
      <c r="E58" s="79"/>
      <c r="F58" s="61"/>
      <c r="G58" s="80"/>
      <c r="H58" s="366"/>
      <c r="I58" s="98"/>
      <c r="J58" s="82"/>
      <c r="K58" s="58"/>
      <c r="L58" s="58"/>
      <c r="M58" s="58"/>
      <c r="N58" s="402"/>
      <c r="O58" s="98"/>
      <c r="P58" s="82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402"/>
      <c r="AG58" s="58"/>
    </row>
    <row r="59" spans="2:35" hidden="1" outlineLevel="1" x14ac:dyDescent="0.35">
      <c r="C59" s="293" t="s">
        <v>50</v>
      </c>
      <c r="D59" s="78"/>
      <c r="E59" s="79"/>
      <c r="F59" s="61"/>
      <c r="G59" s="80"/>
      <c r="H59" s="366">
        <v>33.700000000000003</v>
      </c>
      <c r="I59" s="98">
        <v>5</v>
      </c>
      <c r="J59" s="82"/>
      <c r="K59" s="58"/>
      <c r="L59" s="58"/>
      <c r="M59" s="58"/>
      <c r="N59" s="402"/>
      <c r="O59" s="98"/>
      <c r="P59" s="82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402"/>
      <c r="AG59" s="58"/>
    </row>
    <row r="60" spans="2:35" hidden="1" outlineLevel="1" x14ac:dyDescent="0.35">
      <c r="B60" t="s">
        <v>52</v>
      </c>
      <c r="C60" s="295" t="s">
        <v>51</v>
      </c>
      <c r="D60" s="78"/>
      <c r="E60" s="79"/>
      <c r="F60" s="61"/>
      <c r="G60" s="80"/>
      <c r="H60" s="368">
        <v>30</v>
      </c>
      <c r="I60" s="274">
        <v>70</v>
      </c>
      <c r="J60" s="82">
        <v>125</v>
      </c>
      <c r="K60" s="58"/>
      <c r="L60" s="58"/>
      <c r="M60" s="58"/>
      <c r="N60" s="402"/>
      <c r="O60" s="98"/>
      <c r="P60" s="82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402"/>
      <c r="AG60" s="58"/>
    </row>
    <row r="61" spans="2:35" hidden="1" outlineLevel="1" x14ac:dyDescent="0.35">
      <c r="B61" t="s">
        <v>55</v>
      </c>
      <c r="C61" s="293" t="s">
        <v>168</v>
      </c>
      <c r="D61" s="78"/>
      <c r="E61" s="79"/>
      <c r="F61" s="61"/>
      <c r="G61" s="80"/>
      <c r="H61" s="366"/>
      <c r="I61" s="98"/>
      <c r="J61" s="272">
        <v>30</v>
      </c>
      <c r="K61" s="273">
        <v>70</v>
      </c>
      <c r="L61" s="58">
        <v>150</v>
      </c>
      <c r="M61" s="58"/>
      <c r="N61" s="402"/>
      <c r="O61" s="98"/>
      <c r="P61" s="82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402"/>
      <c r="AG61" s="58"/>
    </row>
    <row r="62" spans="2:35" hidden="1" outlineLevel="1" x14ac:dyDescent="0.35">
      <c r="B62" t="s">
        <v>59</v>
      </c>
      <c r="C62" s="293" t="s">
        <v>57</v>
      </c>
      <c r="D62" s="78"/>
      <c r="E62" s="79"/>
      <c r="F62" s="61"/>
      <c r="G62" s="80"/>
      <c r="H62" s="366"/>
      <c r="I62" s="98"/>
      <c r="J62" s="82"/>
      <c r="K62" s="58" t="s">
        <v>58</v>
      </c>
      <c r="L62" s="58"/>
      <c r="M62" s="58">
        <v>100</v>
      </c>
      <c r="N62" s="402">
        <v>100</v>
      </c>
      <c r="O62" s="98">
        <v>400</v>
      </c>
      <c r="P62" s="82">
        <v>250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402"/>
      <c r="AG62" s="58"/>
    </row>
    <row r="63" spans="2:35" ht="15" hidden="1" customHeight="1" outlineLevel="1" x14ac:dyDescent="0.35">
      <c r="B63" t="s">
        <v>56</v>
      </c>
      <c r="C63" s="293" t="s">
        <v>174</v>
      </c>
      <c r="D63" s="78"/>
      <c r="E63" s="79"/>
      <c r="F63" s="61"/>
      <c r="G63" s="80"/>
      <c r="H63" s="366"/>
      <c r="I63" s="98"/>
      <c r="J63" s="82"/>
      <c r="K63" s="58"/>
      <c r="L63" s="58"/>
      <c r="M63" s="58"/>
      <c r="N63" s="402"/>
      <c r="O63" s="98"/>
      <c r="Q63" s="58">
        <v>100</v>
      </c>
      <c r="R63" s="58">
        <v>400</v>
      </c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402"/>
      <c r="AG63" s="58"/>
    </row>
    <row r="64" spans="2:35" hidden="1" outlineLevel="1" x14ac:dyDescent="0.35">
      <c r="B64" t="s">
        <v>53</v>
      </c>
      <c r="C64" s="295" t="s">
        <v>238</v>
      </c>
      <c r="D64" s="78"/>
      <c r="E64" s="78"/>
      <c r="F64" s="90"/>
      <c r="G64" s="80"/>
      <c r="H64" s="366"/>
      <c r="I64" s="98"/>
      <c r="J64" s="82"/>
      <c r="K64" s="58"/>
      <c r="L64" s="58"/>
      <c r="M64" s="58"/>
      <c r="N64" s="402"/>
      <c r="O64" s="98"/>
      <c r="Q64" s="58"/>
      <c r="R64" s="58"/>
      <c r="S64" s="58">
        <v>70</v>
      </c>
      <c r="T64" s="58">
        <v>280</v>
      </c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402"/>
      <c r="AG64" s="58"/>
    </row>
    <row r="65" spans="2:34" hidden="1" outlineLevel="1" x14ac:dyDescent="0.35">
      <c r="B65" t="s">
        <v>62</v>
      </c>
      <c r="C65" s="293" t="s">
        <v>61</v>
      </c>
      <c r="D65" s="78"/>
      <c r="E65" s="79"/>
      <c r="F65" s="61"/>
      <c r="G65" s="80"/>
      <c r="H65" s="366"/>
      <c r="I65" s="98"/>
      <c r="J65" s="82"/>
      <c r="K65" s="58"/>
      <c r="L65" s="58"/>
      <c r="M65" s="58"/>
      <c r="N65" s="402"/>
      <c r="O65" s="98"/>
      <c r="Q65" s="58"/>
      <c r="R65" s="58"/>
      <c r="S65" s="58"/>
      <c r="T65" s="58"/>
      <c r="U65" s="58">
        <v>150</v>
      </c>
      <c r="V65" s="58">
        <v>350</v>
      </c>
      <c r="W65" s="58">
        <v>100</v>
      </c>
      <c r="X65" s="58"/>
      <c r="Y65" s="58"/>
      <c r="Z65" s="58"/>
      <c r="AA65" s="58"/>
      <c r="AB65" s="58"/>
      <c r="AC65" s="58"/>
      <c r="AD65" s="58"/>
      <c r="AE65" s="58"/>
      <c r="AF65" s="402"/>
      <c r="AG65" s="58"/>
    </row>
    <row r="66" spans="2:34" hidden="1" outlineLevel="1" x14ac:dyDescent="0.35">
      <c r="B66" t="s">
        <v>241</v>
      </c>
      <c r="C66" s="293" t="s">
        <v>60</v>
      </c>
      <c r="D66" s="78"/>
      <c r="E66" s="79"/>
      <c r="F66" s="61"/>
      <c r="G66" s="80"/>
      <c r="H66" s="366"/>
      <c r="I66" s="98"/>
      <c r="J66" s="82"/>
      <c r="K66" s="58"/>
      <c r="L66" s="58"/>
      <c r="M66" s="58"/>
      <c r="N66" s="402"/>
      <c r="O66" s="98"/>
      <c r="Q66" s="58"/>
      <c r="R66" s="58"/>
      <c r="S66" s="58"/>
      <c r="T66" s="58"/>
      <c r="U66" s="58"/>
      <c r="W66">
        <v>60</v>
      </c>
      <c r="X66" s="58">
        <v>310</v>
      </c>
      <c r="Y66" s="58"/>
      <c r="Z66" s="58"/>
      <c r="AA66" s="58"/>
      <c r="AB66" s="58"/>
      <c r="AC66" s="58"/>
      <c r="AD66" s="58"/>
      <c r="AE66" s="58"/>
      <c r="AF66" s="402"/>
      <c r="AG66" s="58"/>
    </row>
    <row r="67" spans="2:34" hidden="1" outlineLevel="1" x14ac:dyDescent="0.35">
      <c r="B67" t="s">
        <v>64</v>
      </c>
      <c r="C67" s="293" t="s">
        <v>63</v>
      </c>
      <c r="D67" s="78"/>
      <c r="E67" s="79"/>
      <c r="F67" s="61"/>
      <c r="G67" s="80"/>
      <c r="H67" s="366"/>
      <c r="I67" s="98"/>
      <c r="J67" s="82"/>
      <c r="K67" s="58"/>
      <c r="L67" s="58"/>
      <c r="M67" s="58"/>
      <c r="N67" s="402"/>
      <c r="O67" s="98"/>
      <c r="P67" s="82"/>
      <c r="Q67" s="58"/>
      <c r="R67" s="58"/>
      <c r="S67" s="58"/>
      <c r="T67" s="58"/>
      <c r="U67" s="58"/>
      <c r="W67" s="58"/>
      <c r="X67" s="58"/>
      <c r="Y67" s="58">
        <v>150</v>
      </c>
      <c r="Z67" s="58">
        <v>400</v>
      </c>
      <c r="AA67" s="58">
        <v>210</v>
      </c>
      <c r="AB67" s="58"/>
      <c r="AC67" s="58"/>
      <c r="AD67" s="58"/>
      <c r="AE67" s="58"/>
      <c r="AF67" s="402"/>
      <c r="AG67" s="58"/>
    </row>
    <row r="68" spans="2:34" hidden="1" outlineLevel="1" x14ac:dyDescent="0.35">
      <c r="B68" t="s">
        <v>66</v>
      </c>
      <c r="C68" s="293" t="s">
        <v>65</v>
      </c>
      <c r="D68" s="78"/>
      <c r="E68" s="79"/>
      <c r="F68" s="61"/>
      <c r="G68" s="80"/>
      <c r="H68" s="366"/>
      <c r="I68" s="98"/>
      <c r="J68" s="82"/>
      <c r="K68" s="58"/>
      <c r="L68" s="58"/>
      <c r="M68" s="58"/>
      <c r="N68" s="402"/>
      <c r="O68" s="98"/>
      <c r="P68" s="82"/>
      <c r="Q68" s="58"/>
      <c r="R68" s="58"/>
      <c r="S68" s="58"/>
      <c r="T68" s="58"/>
      <c r="U68" s="58"/>
      <c r="W68" s="58"/>
      <c r="X68" s="58"/>
      <c r="Y68" s="58"/>
      <c r="Z68" s="58"/>
      <c r="AA68" s="58"/>
      <c r="AB68" s="58">
        <v>40</v>
      </c>
      <c r="AC68" s="58">
        <v>180</v>
      </c>
      <c r="AD68" s="58"/>
      <c r="AE68" s="58"/>
      <c r="AF68" s="402"/>
      <c r="AG68" s="58"/>
    </row>
    <row r="69" spans="2:34" hidden="1" outlineLevel="1" x14ac:dyDescent="0.35">
      <c r="B69" t="s">
        <v>68</v>
      </c>
      <c r="C69" s="293" t="s">
        <v>67</v>
      </c>
      <c r="D69" s="78"/>
      <c r="E69" s="79"/>
      <c r="F69" s="61"/>
      <c r="G69" s="80"/>
      <c r="H69" s="366"/>
      <c r="I69" s="98"/>
      <c r="J69" s="82"/>
      <c r="K69" s="58"/>
      <c r="L69" s="58"/>
      <c r="M69" s="58"/>
      <c r="N69" s="402"/>
      <c r="O69" s="98"/>
      <c r="P69" s="82"/>
      <c r="Q69" s="58"/>
      <c r="R69" s="58"/>
      <c r="S69" s="58"/>
      <c r="T69" s="58"/>
      <c r="U69" s="58"/>
      <c r="W69" s="58"/>
      <c r="X69" s="58"/>
      <c r="Y69" s="58"/>
      <c r="Z69" s="58"/>
      <c r="AA69" s="58"/>
      <c r="AB69" s="58"/>
      <c r="AC69" s="58">
        <v>80</v>
      </c>
      <c r="AD69" s="58">
        <v>210</v>
      </c>
      <c r="AE69" s="58"/>
      <c r="AF69" s="402"/>
      <c r="AG69" s="58"/>
    </row>
    <row r="70" spans="2:34" hidden="1" outlineLevel="1" x14ac:dyDescent="0.35">
      <c r="B70" t="s">
        <v>70</v>
      </c>
      <c r="C70" s="293" t="s">
        <v>69</v>
      </c>
      <c r="D70" s="78"/>
      <c r="E70" s="79"/>
      <c r="F70" s="61"/>
      <c r="G70" s="80"/>
      <c r="H70" s="366"/>
      <c r="I70" s="98"/>
      <c r="J70" s="82"/>
      <c r="K70" s="58"/>
      <c r="L70" s="58"/>
      <c r="M70" s="58"/>
      <c r="N70" s="402"/>
      <c r="O70" s="98"/>
      <c r="P70" s="82"/>
      <c r="Q70" s="58"/>
      <c r="R70" s="58"/>
      <c r="S70" s="58"/>
      <c r="T70" s="58"/>
      <c r="U70" s="58"/>
      <c r="W70" s="58"/>
      <c r="X70" s="58"/>
      <c r="Y70" s="58"/>
      <c r="Z70" s="58"/>
      <c r="AA70" s="58"/>
      <c r="AB70" s="58"/>
      <c r="AC70" s="58"/>
      <c r="AD70" s="58">
        <v>60</v>
      </c>
      <c r="AE70" s="58">
        <v>185</v>
      </c>
      <c r="AF70" s="402"/>
      <c r="AG70" s="58"/>
    </row>
    <row r="71" spans="2:34" hidden="1" outlineLevel="1" x14ac:dyDescent="0.35">
      <c r="C71" s="293" t="s">
        <v>71</v>
      </c>
      <c r="D71" s="78"/>
      <c r="E71" s="79"/>
      <c r="F71" s="61">
        <v>3</v>
      </c>
      <c r="G71" s="80"/>
      <c r="H71" s="368">
        <v>4</v>
      </c>
      <c r="I71" s="98">
        <v>9</v>
      </c>
      <c r="J71" s="82">
        <v>9</v>
      </c>
      <c r="K71" s="82">
        <v>9</v>
      </c>
      <c r="L71" s="82">
        <v>9</v>
      </c>
      <c r="M71" s="82">
        <v>9</v>
      </c>
      <c r="N71" s="400">
        <v>9</v>
      </c>
      <c r="O71" s="98">
        <v>9</v>
      </c>
      <c r="P71" s="82">
        <v>9</v>
      </c>
      <c r="Q71" s="82">
        <v>9</v>
      </c>
      <c r="R71" s="82">
        <v>9</v>
      </c>
      <c r="S71" s="82">
        <v>9</v>
      </c>
      <c r="T71" s="82">
        <v>9</v>
      </c>
      <c r="U71" s="82">
        <v>9</v>
      </c>
      <c r="V71" s="82">
        <v>9</v>
      </c>
      <c r="W71" s="82">
        <v>9</v>
      </c>
      <c r="X71" s="82">
        <v>9</v>
      </c>
      <c r="Y71" s="82">
        <v>9</v>
      </c>
      <c r="Z71" s="82">
        <v>9</v>
      </c>
      <c r="AA71" s="82">
        <v>9</v>
      </c>
      <c r="AB71" s="82">
        <v>9</v>
      </c>
      <c r="AC71" s="82">
        <v>9</v>
      </c>
      <c r="AD71" s="82">
        <v>9</v>
      </c>
      <c r="AE71" s="82">
        <v>9</v>
      </c>
      <c r="AF71" s="400">
        <v>9</v>
      </c>
      <c r="AG71" s="58">
        <v>9</v>
      </c>
    </row>
    <row r="72" spans="2:34" ht="15" collapsed="1" thickBot="1" x14ac:dyDescent="0.4">
      <c r="C72" s="296" t="s">
        <v>72</v>
      </c>
      <c r="D72" s="91"/>
      <c r="E72" s="92"/>
      <c r="F72" s="71">
        <f t="shared" ref="F72:AG72" si="273">SUM(F50:F54)</f>
        <v>235</v>
      </c>
      <c r="G72" s="72">
        <f t="shared" si="273"/>
        <v>275</v>
      </c>
      <c r="H72" s="369">
        <f t="shared" si="273"/>
        <v>270.02</v>
      </c>
      <c r="I72" s="73">
        <f t="shared" si="273"/>
        <v>280.9091676965092</v>
      </c>
      <c r="J72" s="74">
        <f t="shared" si="273"/>
        <v>270.40323586123827</v>
      </c>
      <c r="K72" s="93">
        <f t="shared" si="273"/>
        <v>234.98534057635999</v>
      </c>
      <c r="L72" s="93">
        <f t="shared" si="273"/>
        <v>278.32744529148169</v>
      </c>
      <c r="M72" s="93">
        <f t="shared" si="273"/>
        <v>235.34719386707451</v>
      </c>
      <c r="N72" s="403">
        <f t="shared" si="273"/>
        <v>210.12694244266734</v>
      </c>
      <c r="O72" s="73">
        <f t="shared" si="273"/>
        <v>150.72669101826011</v>
      </c>
      <c r="P72" s="74">
        <f t="shared" si="273"/>
        <v>-36.518272685204806</v>
      </c>
      <c r="Q72" s="93">
        <f t="shared" si="273"/>
        <v>-26.943236388669732</v>
      </c>
      <c r="R72" s="93">
        <f t="shared" si="273"/>
        <v>34.951799907865393</v>
      </c>
      <c r="S72" s="93">
        <f t="shared" si="273"/>
        <v>92.557984710610668</v>
      </c>
      <c r="T72" s="93">
        <f t="shared" si="273"/>
        <v>-93.565830486644074</v>
      </c>
      <c r="U72" s="93">
        <f t="shared" si="273"/>
        <v>-99.619645683898781</v>
      </c>
      <c r="V72" s="93">
        <f t="shared" si="273"/>
        <v>5.8965391188464196</v>
      </c>
      <c r="W72" s="93">
        <f t="shared" si="273"/>
        <v>-0.41877113547437261</v>
      </c>
      <c r="X72" s="93">
        <f t="shared" si="273"/>
        <v>-185.81408138979509</v>
      </c>
      <c r="Y72" s="93">
        <f t="shared" si="273"/>
        <v>-144.03939164411588</v>
      </c>
      <c r="Z72" s="93">
        <f t="shared" si="273"/>
        <v>-19.69470189843662</v>
      </c>
      <c r="AA72" s="93">
        <f t="shared" si="273"/>
        <v>-49.738863646547202</v>
      </c>
      <c r="AB72" s="93">
        <f t="shared" si="273"/>
        <v>169.78697460534227</v>
      </c>
      <c r="AC72" s="93">
        <f t="shared" si="273"/>
        <v>108.53791238901175</v>
      </c>
      <c r="AD72" s="93">
        <f t="shared" si="273"/>
        <v>57.610813622288788</v>
      </c>
      <c r="AE72" s="93">
        <f t="shared" si="273"/>
        <v>142.72871485556573</v>
      </c>
      <c r="AF72" s="403">
        <f t="shared" si="273"/>
        <v>519.52397222837158</v>
      </c>
      <c r="AG72" s="93">
        <f t="shared" si="273"/>
        <v>916.13922960117736</v>
      </c>
    </row>
    <row r="73" spans="2:34" ht="15.5" x14ac:dyDescent="0.35">
      <c r="C73" s="286"/>
      <c r="D73" s="45"/>
      <c r="E73" s="46"/>
      <c r="F73" s="94"/>
      <c r="G73" s="95"/>
      <c r="H73" s="370"/>
      <c r="I73" s="96"/>
      <c r="J73" s="94"/>
      <c r="K73" s="97"/>
      <c r="L73" s="97"/>
      <c r="M73" s="97"/>
      <c r="N73" s="404"/>
      <c r="O73" s="96"/>
      <c r="P73" s="94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404"/>
      <c r="AG73" s="97"/>
    </row>
    <row r="74" spans="2:34" x14ac:dyDescent="0.35">
      <c r="C74" s="288" t="s">
        <v>73</v>
      </c>
      <c r="D74" s="59"/>
      <c r="E74" s="51"/>
      <c r="F74" s="52">
        <v>268</v>
      </c>
      <c r="G74" s="53">
        <f>F101</f>
        <v>-105.43804356861096</v>
      </c>
      <c r="H74" s="359">
        <f>G101</f>
        <v>-94.604658645302777</v>
      </c>
      <c r="I74" s="54">
        <f t="shared" ref="I74:L74" si="274">H101</f>
        <v>-60.117928700224056</v>
      </c>
      <c r="J74" s="55">
        <f t="shared" si="274"/>
        <v>-18.717171107872673</v>
      </c>
      <c r="K74" s="75">
        <f>J101</f>
        <v>12.637492151591857</v>
      </c>
      <c r="L74" s="75">
        <f t="shared" si="274"/>
        <v>139.24244313199856</v>
      </c>
      <c r="M74" s="75">
        <f t="shared" ref="M74" si="275">L101</f>
        <v>278.25739411240528</v>
      </c>
      <c r="N74" s="396">
        <f t="shared" ref="N74" si="276">M101</f>
        <v>421.61877433312611</v>
      </c>
      <c r="O74" s="54">
        <f t="shared" ref="O74" si="277">N101</f>
        <v>603.71215455384697</v>
      </c>
      <c r="P74" s="55">
        <f>O101</f>
        <v>750.41053477456785</v>
      </c>
      <c r="Q74" s="75">
        <f t="shared" ref="Q74" si="278">P101</f>
        <v>699.44877347591682</v>
      </c>
      <c r="R74" s="75">
        <f t="shared" ref="R74" si="279">Q101</f>
        <v>888.0980121772659</v>
      </c>
      <c r="S74" s="75">
        <f t="shared" ref="S74" si="280">R101</f>
        <v>895.35825087861497</v>
      </c>
      <c r="T74" s="75">
        <f t="shared" ref="T74" si="281">S101</f>
        <v>1087.2294895799641</v>
      </c>
      <c r="U74" s="75">
        <f t="shared" ref="U74" si="282">T101</f>
        <v>1131.1257282813133</v>
      </c>
      <c r="V74" s="75">
        <f t="shared" ref="V74" si="283">U101</f>
        <v>1326.2189669826623</v>
      </c>
      <c r="W74" s="75">
        <f t="shared" ref="W74" si="284">V101</f>
        <v>1190.5372056840115</v>
      </c>
      <c r="X74" s="75">
        <f t="shared" ref="X74" si="285">W101</f>
        <v>1389.6804443853605</v>
      </c>
      <c r="Y74" s="75">
        <f t="shared" ref="Y74" si="286">X101</f>
        <v>1393.9346830867096</v>
      </c>
      <c r="Z74" s="75">
        <f t="shared" ref="Z74" si="287">Y101</f>
        <v>1595.8859217880588</v>
      </c>
      <c r="AA74" s="75">
        <f t="shared" ref="AA74" si="288">Z101</f>
        <v>1464.8621604894079</v>
      </c>
      <c r="AB74" s="75">
        <f t="shared" ref="AB74" si="289">AA101</f>
        <v>1535.3633991907568</v>
      </c>
      <c r="AC74" s="75">
        <f t="shared" ref="AC74" si="290">AB101</f>
        <v>1742.5616378921059</v>
      </c>
      <c r="AD74" s="75">
        <f t="shared" ref="AD74" si="291">AC101</f>
        <v>1847.909876593455</v>
      </c>
      <c r="AE74" s="75">
        <f t="shared" ref="AE74" si="292">AD101</f>
        <v>1806.4656860544899</v>
      </c>
      <c r="AF74" s="396">
        <f t="shared" ref="AF74" si="293">AE101</f>
        <v>1639.6612077945824</v>
      </c>
      <c r="AG74" s="75">
        <f t="shared" ref="AG74" si="294">AF101</f>
        <v>1247.1948780408852</v>
      </c>
    </row>
    <row r="75" spans="2:34" x14ac:dyDescent="0.35">
      <c r="C75" s="293" t="s">
        <v>132</v>
      </c>
      <c r="D75" s="78"/>
      <c r="E75" s="79"/>
      <c r="F75" s="61">
        <v>14.3</v>
      </c>
      <c r="G75" s="80">
        <v>13</v>
      </c>
      <c r="H75" s="366">
        <v>13</v>
      </c>
      <c r="I75" s="98">
        <f t="shared" ref="I75:AG75" si="295">0.001*12*I8*0.5*I16</f>
        <v>15.318000000000001</v>
      </c>
      <c r="J75" s="82">
        <f t="shared" si="295"/>
        <v>16.146000000000001</v>
      </c>
      <c r="K75" s="58">
        <f t="shared" si="295"/>
        <v>17.802000000000003</v>
      </c>
      <c r="L75" s="58">
        <f t="shared" si="295"/>
        <v>19.872</v>
      </c>
      <c r="M75" s="58">
        <f t="shared" si="295"/>
        <v>21.528000000000002</v>
      </c>
      <c r="N75" s="402">
        <f t="shared" si="295"/>
        <v>23.184000000000001</v>
      </c>
      <c r="O75" s="98">
        <f t="shared" si="295"/>
        <v>25.254000000000001</v>
      </c>
      <c r="P75" s="82">
        <f t="shared" si="295"/>
        <v>26.910000000000004</v>
      </c>
      <c r="Q75" s="58">
        <f t="shared" si="295"/>
        <v>28.566000000000003</v>
      </c>
      <c r="R75" s="58">
        <f t="shared" si="295"/>
        <v>30.222000000000001</v>
      </c>
      <c r="S75" s="58">
        <f t="shared" si="295"/>
        <v>31.878000000000004</v>
      </c>
      <c r="T75" s="58">
        <f t="shared" si="295"/>
        <v>33.948</v>
      </c>
      <c r="U75" s="58">
        <f t="shared" si="295"/>
        <v>35.190000000000005</v>
      </c>
      <c r="V75" s="58">
        <f t="shared" si="295"/>
        <v>37.260000000000005</v>
      </c>
      <c r="W75" s="58">
        <f t="shared" si="295"/>
        <v>39.330000000000005</v>
      </c>
      <c r="X75" s="58">
        <f t="shared" si="295"/>
        <v>40.986000000000004</v>
      </c>
      <c r="Y75" s="58">
        <f t="shared" si="295"/>
        <v>42.228000000000002</v>
      </c>
      <c r="Z75" s="58">
        <f t="shared" si="295"/>
        <v>44.298000000000002</v>
      </c>
      <c r="AA75" s="58">
        <f t="shared" si="295"/>
        <v>46.368000000000002</v>
      </c>
      <c r="AB75" s="58">
        <f t="shared" si="295"/>
        <v>47.610000000000007</v>
      </c>
      <c r="AC75" s="58">
        <f t="shared" si="295"/>
        <v>49.680000000000007</v>
      </c>
      <c r="AD75" s="58">
        <f t="shared" si="295"/>
        <v>51.336000000000006</v>
      </c>
      <c r="AE75" s="58">
        <f t="shared" si="295"/>
        <v>53.406000000000006</v>
      </c>
      <c r="AF75" s="402">
        <f t="shared" si="295"/>
        <v>54.648000000000003</v>
      </c>
      <c r="AG75" s="58">
        <f t="shared" si="295"/>
        <v>56.718000000000004</v>
      </c>
      <c r="AH75" s="11">
        <f t="shared" ref="AH75:AH76" si="296">(AG75-I75)/I75</f>
        <v>2.7027027027027026</v>
      </c>
    </row>
    <row r="76" spans="2:34" x14ac:dyDescent="0.35">
      <c r="C76" s="293" t="s">
        <v>131</v>
      </c>
      <c r="D76" s="78"/>
      <c r="E76" s="79"/>
      <c r="F76" s="61">
        <v>67.8</v>
      </c>
      <c r="G76" s="80">
        <v>67.7</v>
      </c>
      <c r="H76" s="366">
        <f>0.001*12*H17*(H4+H8)</f>
        <v>67.824000000000012</v>
      </c>
      <c r="I76" s="98">
        <f>1*0.001*12*I$17*(I$4+I$8)</f>
        <v>96.492000000000004</v>
      </c>
      <c r="J76" s="82">
        <f t="shared" ref="J76:AG76" si="297">1*0.001*12*J$17*(J$4+J$8)</f>
        <v>124.872</v>
      </c>
      <c r="K76" s="82">
        <f t="shared" si="297"/>
        <v>142.19999999999999</v>
      </c>
      <c r="L76" s="82">
        <f t="shared" si="297"/>
        <v>159.60000000000002</v>
      </c>
      <c r="M76" s="82">
        <f t="shared" si="297"/>
        <v>177.072</v>
      </c>
      <c r="N76" s="400">
        <f t="shared" si="297"/>
        <v>194.20800000000003</v>
      </c>
      <c r="O76" s="98">
        <f t="shared" si="297"/>
        <v>211.78800000000001</v>
      </c>
      <c r="P76" s="82">
        <f t="shared" si="297"/>
        <v>228.95999999999998</v>
      </c>
      <c r="Q76" s="82">
        <f t="shared" si="297"/>
        <v>228.95999999999998</v>
      </c>
      <c r="R76" s="82">
        <f t="shared" si="297"/>
        <v>228.95999999999998</v>
      </c>
      <c r="S76" s="82">
        <f t="shared" si="297"/>
        <v>228.95999999999998</v>
      </c>
      <c r="T76" s="82">
        <f t="shared" si="297"/>
        <v>228.95999999999998</v>
      </c>
      <c r="U76" s="82">
        <f t="shared" si="297"/>
        <v>228.95999999999998</v>
      </c>
      <c r="V76" s="82">
        <f t="shared" si="297"/>
        <v>228.95999999999998</v>
      </c>
      <c r="W76" s="82">
        <f t="shared" si="297"/>
        <v>228.95999999999998</v>
      </c>
      <c r="X76" s="82">
        <f t="shared" si="297"/>
        <v>228.95999999999998</v>
      </c>
      <c r="Y76" s="82">
        <f t="shared" si="297"/>
        <v>228.95999999999998</v>
      </c>
      <c r="Z76" s="82">
        <f t="shared" si="297"/>
        <v>228.95999999999998</v>
      </c>
      <c r="AA76" s="82">
        <f t="shared" si="297"/>
        <v>228.95999999999998</v>
      </c>
      <c r="AB76" s="82">
        <f t="shared" si="297"/>
        <v>228.95999999999998</v>
      </c>
      <c r="AC76" s="82">
        <f t="shared" si="297"/>
        <v>228.95999999999998</v>
      </c>
      <c r="AD76" s="82">
        <f t="shared" si="297"/>
        <v>228.95999999999998</v>
      </c>
      <c r="AE76" s="82">
        <f t="shared" si="297"/>
        <v>228.95999999999998</v>
      </c>
      <c r="AF76" s="400">
        <f t="shared" si="297"/>
        <v>228.95999999999998</v>
      </c>
      <c r="AG76" s="58">
        <f t="shared" si="297"/>
        <v>228.95999999999998</v>
      </c>
      <c r="AH76" s="11">
        <f t="shared" si="296"/>
        <v>1.3728391991045885</v>
      </c>
    </row>
    <row r="77" spans="2:34" x14ac:dyDescent="0.35">
      <c r="C77" s="293" t="s">
        <v>213</v>
      </c>
      <c r="D77" s="78"/>
      <c r="E77" s="79"/>
      <c r="F77" s="80">
        <v>6</v>
      </c>
      <c r="G77" s="80">
        <v>26.5</v>
      </c>
      <c r="H77" s="366">
        <v>12.6</v>
      </c>
      <c r="I77" s="98">
        <f t="shared" ref="I77:AG77" si="298">0.001*I11*(I5+I10+I7)</f>
        <v>0</v>
      </c>
      <c r="J77" s="82">
        <f t="shared" si="298"/>
        <v>15</v>
      </c>
      <c r="K77" s="58">
        <f t="shared" si="298"/>
        <v>15</v>
      </c>
      <c r="L77" s="58">
        <f t="shared" si="298"/>
        <v>20</v>
      </c>
      <c r="M77" s="58">
        <f t="shared" si="298"/>
        <v>0</v>
      </c>
      <c r="N77" s="402">
        <f t="shared" si="298"/>
        <v>20</v>
      </c>
      <c r="O77" s="98">
        <f t="shared" si="298"/>
        <v>0</v>
      </c>
      <c r="P77" s="82">
        <f t="shared" si="298"/>
        <v>0</v>
      </c>
      <c r="Q77" s="58">
        <f t="shared" si="298"/>
        <v>0</v>
      </c>
      <c r="R77" s="58">
        <f t="shared" si="298"/>
        <v>0</v>
      </c>
      <c r="S77" s="58">
        <f t="shared" si="298"/>
        <v>0</v>
      </c>
      <c r="T77" s="58">
        <f t="shared" si="298"/>
        <v>0</v>
      </c>
      <c r="U77" s="58">
        <f t="shared" si="298"/>
        <v>0</v>
      </c>
      <c r="V77" s="58">
        <f t="shared" si="298"/>
        <v>0</v>
      </c>
      <c r="W77" s="58">
        <f t="shared" si="298"/>
        <v>0</v>
      </c>
      <c r="X77" s="58">
        <f t="shared" si="298"/>
        <v>0</v>
      </c>
      <c r="Y77" s="58">
        <f t="shared" si="298"/>
        <v>0</v>
      </c>
      <c r="Z77" s="58">
        <f t="shared" si="298"/>
        <v>0</v>
      </c>
      <c r="AA77" s="58">
        <f t="shared" si="298"/>
        <v>0</v>
      </c>
      <c r="AB77" s="58">
        <f t="shared" si="298"/>
        <v>0</v>
      </c>
      <c r="AC77" s="58">
        <f t="shared" si="298"/>
        <v>0</v>
      </c>
      <c r="AD77" s="58">
        <f t="shared" si="298"/>
        <v>0</v>
      </c>
      <c r="AE77" s="58">
        <f t="shared" si="298"/>
        <v>0</v>
      </c>
      <c r="AF77" s="402">
        <f t="shared" si="298"/>
        <v>0</v>
      </c>
      <c r="AG77" s="58">
        <f t="shared" si="298"/>
        <v>0</v>
      </c>
    </row>
    <row r="78" spans="2:34" x14ac:dyDescent="0.35">
      <c r="C78" s="293" t="s">
        <v>74</v>
      </c>
      <c r="D78" s="78"/>
      <c r="E78" s="79"/>
      <c r="F78" s="61">
        <v>250</v>
      </c>
      <c r="G78" s="80"/>
      <c r="H78" s="365"/>
      <c r="I78" s="335">
        <v>100</v>
      </c>
      <c r="J78" s="336">
        <v>300</v>
      </c>
      <c r="K78" s="337">
        <v>0</v>
      </c>
      <c r="L78" s="337">
        <v>100</v>
      </c>
      <c r="M78" s="337">
        <v>0</v>
      </c>
      <c r="N78" s="399">
        <v>0</v>
      </c>
      <c r="O78" s="335">
        <v>200</v>
      </c>
      <c r="P78" s="336">
        <v>0</v>
      </c>
      <c r="Q78" s="337">
        <v>0</v>
      </c>
      <c r="R78" s="337">
        <v>0</v>
      </c>
      <c r="S78" s="337">
        <v>0</v>
      </c>
      <c r="T78" s="337">
        <v>0</v>
      </c>
      <c r="U78" s="337">
        <v>0</v>
      </c>
      <c r="V78" s="337">
        <v>0</v>
      </c>
      <c r="W78" s="337">
        <v>0</v>
      </c>
      <c r="X78" s="337">
        <v>0</v>
      </c>
      <c r="Y78" s="337">
        <v>0</v>
      </c>
      <c r="Z78" s="337">
        <v>0</v>
      </c>
      <c r="AA78" s="337">
        <v>0</v>
      </c>
      <c r="AB78" s="337">
        <v>0</v>
      </c>
      <c r="AC78" s="337">
        <v>0</v>
      </c>
      <c r="AD78" s="337">
        <v>0</v>
      </c>
      <c r="AE78" s="337">
        <v>400</v>
      </c>
      <c r="AF78" s="399">
        <v>0</v>
      </c>
      <c r="AG78" s="337"/>
    </row>
    <row r="79" spans="2:34" x14ac:dyDescent="0.35">
      <c r="C79" s="293" t="s">
        <v>75</v>
      </c>
      <c r="D79" s="78"/>
      <c r="E79" s="79"/>
      <c r="F79" s="61">
        <f>F207</f>
        <v>-53.738043568611012</v>
      </c>
      <c r="G79" s="80">
        <f t="shared" ref="G79:AG79" si="299">G207</f>
        <v>-53.466615076691824</v>
      </c>
      <c r="H79" s="303">
        <f t="shared" si="299"/>
        <v>-53.937270054921292</v>
      </c>
      <c r="I79" s="81">
        <f t="shared" si="299"/>
        <v>-54.409242407648613</v>
      </c>
      <c r="J79" s="377">
        <f t="shared" si="299"/>
        <v>-60.863336740535516</v>
      </c>
      <c r="K79" s="76">
        <f t="shared" si="299"/>
        <v>-45.097049019593264</v>
      </c>
      <c r="L79" s="76">
        <f t="shared" si="299"/>
        <v>-45.097049019593264</v>
      </c>
      <c r="M79" s="76">
        <f t="shared" si="299"/>
        <v>-51.818619779279175</v>
      </c>
      <c r="N79" s="304">
        <f t="shared" si="299"/>
        <v>-51.818619779279175</v>
      </c>
      <c r="O79" s="81">
        <f t="shared" si="299"/>
        <v>-51.818619779279175</v>
      </c>
      <c r="P79" s="83">
        <f t="shared" si="299"/>
        <v>-65.261761298650995</v>
      </c>
      <c r="Q79" s="76">
        <f t="shared" si="299"/>
        <v>-65.261761298650995</v>
      </c>
      <c r="R79" s="76">
        <f t="shared" si="299"/>
        <v>-65.261761298650995</v>
      </c>
      <c r="S79" s="76">
        <f t="shared" si="299"/>
        <v>-65.261761298650995</v>
      </c>
      <c r="T79" s="76">
        <f t="shared" si="299"/>
        <v>-65.261761298650995</v>
      </c>
      <c r="U79" s="76">
        <f t="shared" si="299"/>
        <v>-65.261761298650995</v>
      </c>
      <c r="V79" s="76">
        <f t="shared" si="299"/>
        <v>-65.261761298650995</v>
      </c>
      <c r="W79" s="76">
        <f t="shared" si="299"/>
        <v>-65.261761298650995</v>
      </c>
      <c r="X79" s="76">
        <f t="shared" si="299"/>
        <v>-65.261761298650995</v>
      </c>
      <c r="Y79" s="76">
        <f t="shared" si="299"/>
        <v>-65.261761298650995</v>
      </c>
      <c r="Z79" s="76">
        <f t="shared" si="299"/>
        <v>-65.261761298650995</v>
      </c>
      <c r="AA79" s="76">
        <f t="shared" si="299"/>
        <v>-65.261761298650995</v>
      </c>
      <c r="AB79" s="76">
        <f t="shared" si="299"/>
        <v>-65.261761298650995</v>
      </c>
      <c r="AC79" s="76">
        <f t="shared" si="299"/>
        <v>-65.261761298650995</v>
      </c>
      <c r="AD79" s="76">
        <f t="shared" si="299"/>
        <v>-58.540190538965092</v>
      </c>
      <c r="AE79" s="76">
        <f t="shared" si="299"/>
        <v>-38.375478259907354</v>
      </c>
      <c r="AF79" s="304">
        <f t="shared" si="299"/>
        <v>-64.034329753697136</v>
      </c>
      <c r="AG79" s="76">
        <f t="shared" si="299"/>
        <v>-57.312758994011226</v>
      </c>
    </row>
    <row r="80" spans="2:34" x14ac:dyDescent="0.35">
      <c r="C80" s="287" t="s">
        <v>251</v>
      </c>
      <c r="D80" s="59"/>
      <c r="E80" s="51"/>
      <c r="F80" s="52">
        <f>-SUM(F81:F100)</f>
        <v>-657.8</v>
      </c>
      <c r="G80" s="53">
        <f>-SUM(G81:G100)</f>
        <v>-42.9</v>
      </c>
      <c r="H80" s="361">
        <f>-SUM(H81:H100)</f>
        <v>-5</v>
      </c>
      <c r="I80" s="63">
        <f>-SUM(I81:I100)</f>
        <v>-116</v>
      </c>
      <c r="J80" s="64">
        <f t="shared" ref="J80:AG80" si="300">-SUM(J81:J100)*(1+J23)</f>
        <v>-363.8</v>
      </c>
      <c r="K80" s="64">
        <f t="shared" si="300"/>
        <v>-3.3000000000000003</v>
      </c>
      <c r="L80" s="64">
        <f t="shared" si="300"/>
        <v>-115.36000000000001</v>
      </c>
      <c r="M80" s="64">
        <f t="shared" si="300"/>
        <v>-3.4200000000000004</v>
      </c>
      <c r="N80" s="398">
        <f t="shared" si="300"/>
        <v>-3.4799999999999995</v>
      </c>
      <c r="O80" s="63">
        <f t="shared" si="300"/>
        <v>-238.52500000000001</v>
      </c>
      <c r="P80" s="64">
        <f t="shared" si="300"/>
        <v>-241.57</v>
      </c>
      <c r="Q80" s="64">
        <f t="shared" si="300"/>
        <v>-3.6150000000000002</v>
      </c>
      <c r="R80" s="64">
        <f t="shared" si="300"/>
        <v>-186.66</v>
      </c>
      <c r="S80" s="64">
        <f t="shared" si="300"/>
        <v>-3.7050000000000001</v>
      </c>
      <c r="T80" s="64">
        <f t="shared" si="300"/>
        <v>-153.75</v>
      </c>
      <c r="U80" s="64">
        <f t="shared" si="300"/>
        <v>-3.7950000000000004</v>
      </c>
      <c r="V80" s="64">
        <f t="shared" si="300"/>
        <v>-336.64</v>
      </c>
      <c r="W80" s="64">
        <f t="shared" si="300"/>
        <v>-3.8850000000000007</v>
      </c>
      <c r="X80" s="64">
        <f t="shared" si="300"/>
        <v>-200.43</v>
      </c>
      <c r="Y80" s="64">
        <f t="shared" si="300"/>
        <v>-3.9750000000000005</v>
      </c>
      <c r="Z80" s="64">
        <f t="shared" si="300"/>
        <v>-339.02000000000004</v>
      </c>
      <c r="AA80" s="64">
        <f t="shared" si="300"/>
        <v>-139.56500000000003</v>
      </c>
      <c r="AB80" s="64">
        <f t="shared" si="300"/>
        <v>-4.1100000000000003</v>
      </c>
      <c r="AC80" s="64">
        <f t="shared" si="300"/>
        <v>-108.03000000000002</v>
      </c>
      <c r="AD80" s="64">
        <f t="shared" si="300"/>
        <v>-263.20000000000005</v>
      </c>
      <c r="AE80" s="64">
        <f t="shared" si="300"/>
        <v>-810.79500000000019</v>
      </c>
      <c r="AF80" s="398">
        <f t="shared" si="300"/>
        <v>-612.04000000000008</v>
      </c>
      <c r="AG80" s="100">
        <f t="shared" si="300"/>
        <v>-538.98500000000013</v>
      </c>
    </row>
    <row r="81" spans="2:33" hidden="1" outlineLevel="1" x14ac:dyDescent="0.35">
      <c r="C81" s="293" t="s">
        <v>76</v>
      </c>
      <c r="D81" s="78"/>
      <c r="E81" s="79"/>
      <c r="F81" s="61">
        <v>4</v>
      </c>
      <c r="G81" s="80"/>
      <c r="H81" s="366"/>
      <c r="I81" s="98"/>
      <c r="J81" s="82"/>
      <c r="K81" s="58"/>
      <c r="L81" s="58"/>
      <c r="M81" s="58"/>
      <c r="N81" s="402"/>
      <c r="O81" s="98"/>
      <c r="P81" s="82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402"/>
      <c r="AG81" s="58"/>
    </row>
    <row r="82" spans="2:33" hidden="1" outlineLevel="1" x14ac:dyDescent="0.35">
      <c r="C82" s="293" t="s">
        <v>77</v>
      </c>
      <c r="D82" s="78"/>
      <c r="E82" s="79"/>
      <c r="F82" s="61">
        <v>647.79999999999995</v>
      </c>
      <c r="G82" s="80">
        <v>20.9</v>
      </c>
      <c r="H82" s="366"/>
      <c r="I82" s="98"/>
      <c r="J82" s="82"/>
      <c r="K82" s="58"/>
      <c r="L82" s="58"/>
      <c r="M82" s="58"/>
      <c r="N82" s="402"/>
      <c r="O82" s="98"/>
      <c r="P82" s="82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402"/>
      <c r="AG82" s="58"/>
    </row>
    <row r="83" spans="2:33" hidden="1" outlineLevel="1" x14ac:dyDescent="0.35">
      <c r="B83" t="s">
        <v>52</v>
      </c>
      <c r="C83" s="295" t="s">
        <v>51</v>
      </c>
      <c r="D83" s="78"/>
      <c r="E83" s="79"/>
      <c r="F83" s="61"/>
      <c r="G83" s="80"/>
      <c r="H83" s="366"/>
      <c r="I83" s="98"/>
      <c r="J83" s="82">
        <v>250</v>
      </c>
      <c r="K83" s="58"/>
      <c r="L83" s="58"/>
      <c r="M83" s="58"/>
      <c r="N83" s="402"/>
      <c r="O83" s="98"/>
      <c r="P83" s="82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402"/>
      <c r="AG83" s="58"/>
    </row>
    <row r="84" spans="2:33" hidden="1" outlineLevel="1" x14ac:dyDescent="0.35">
      <c r="B84">
        <v>2</v>
      </c>
      <c r="C84" s="293" t="s">
        <v>175</v>
      </c>
      <c r="D84" s="78"/>
      <c r="E84" s="79"/>
      <c r="F84" s="61"/>
      <c r="G84" s="80">
        <v>3.7</v>
      </c>
      <c r="H84" s="366"/>
      <c r="I84" s="274">
        <v>113</v>
      </c>
      <c r="J84" s="82">
        <v>87</v>
      </c>
      <c r="K84" s="58"/>
      <c r="L84" s="58"/>
      <c r="M84" s="58"/>
      <c r="N84" s="402"/>
      <c r="O84" s="98"/>
      <c r="P84" s="82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402"/>
      <c r="AG84" s="58"/>
    </row>
    <row r="85" spans="2:33" hidden="1" outlineLevel="1" x14ac:dyDescent="0.35">
      <c r="B85" t="s">
        <v>55</v>
      </c>
      <c r="C85" s="293" t="s">
        <v>168</v>
      </c>
      <c r="D85" s="78"/>
      <c r="E85" s="79"/>
      <c r="F85" s="61"/>
      <c r="G85" s="80"/>
      <c r="H85" s="366"/>
      <c r="I85" s="98"/>
      <c r="J85" s="82"/>
      <c r="K85" s="58"/>
      <c r="L85" s="58">
        <v>100</v>
      </c>
      <c r="M85" s="58"/>
      <c r="N85" s="402"/>
      <c r="O85" s="98"/>
      <c r="P85" s="82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402"/>
      <c r="AG85" s="58"/>
    </row>
    <row r="86" spans="2:33" hidden="1" outlineLevel="1" x14ac:dyDescent="0.35">
      <c r="B86" t="s">
        <v>59</v>
      </c>
      <c r="C86" s="293" t="s">
        <v>80</v>
      </c>
      <c r="D86" s="78"/>
      <c r="E86" s="79"/>
      <c r="F86" s="61"/>
      <c r="G86" s="80"/>
      <c r="H86" s="366"/>
      <c r="I86" s="98"/>
      <c r="J86" s="82"/>
      <c r="K86" s="58" t="s">
        <v>58</v>
      </c>
      <c r="L86" s="58"/>
      <c r="M86" s="58"/>
      <c r="N86" s="402"/>
      <c r="O86" s="98">
        <v>200</v>
      </c>
      <c r="P86" s="82">
        <v>200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402"/>
      <c r="AG86" s="58"/>
    </row>
    <row r="87" spans="2:33" hidden="1" outlineLevel="1" x14ac:dyDescent="0.35">
      <c r="B87" t="s">
        <v>56</v>
      </c>
      <c r="C87" s="293" t="s">
        <v>81</v>
      </c>
      <c r="D87" s="78"/>
      <c r="E87" s="79"/>
      <c r="F87" s="61"/>
      <c r="G87" s="80"/>
      <c r="H87" s="366"/>
      <c r="I87" s="98"/>
      <c r="J87" s="82"/>
      <c r="K87" s="58"/>
      <c r="L87" s="58"/>
      <c r="M87" s="58"/>
      <c r="N87" s="402"/>
      <c r="O87" s="98"/>
      <c r="P87" s="82"/>
      <c r="R87" s="58">
        <v>150</v>
      </c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402"/>
      <c r="AG87" s="58"/>
    </row>
    <row r="88" spans="2:33" hidden="1" outlineLevel="1" x14ac:dyDescent="0.35">
      <c r="B88" t="s">
        <v>53</v>
      </c>
      <c r="C88" s="293" t="s">
        <v>176</v>
      </c>
      <c r="D88" s="78"/>
      <c r="E88" s="79"/>
      <c r="F88" s="61"/>
      <c r="G88" s="80"/>
      <c r="H88" s="366"/>
      <c r="I88" s="98"/>
      <c r="J88" s="82"/>
      <c r="K88" s="58"/>
      <c r="L88" s="58"/>
      <c r="M88" s="58"/>
      <c r="N88" s="402"/>
      <c r="O88" s="98"/>
      <c r="P88" s="82"/>
      <c r="R88" s="58"/>
      <c r="S88" s="58"/>
      <c r="T88" s="58">
        <v>120</v>
      </c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402"/>
      <c r="AG88" s="58"/>
    </row>
    <row r="89" spans="2:33" hidden="1" outlineLevel="1" x14ac:dyDescent="0.35">
      <c r="B89" t="s">
        <v>62</v>
      </c>
      <c r="C89" s="293" t="s">
        <v>82</v>
      </c>
      <c r="D89" s="78"/>
      <c r="E89" s="79"/>
      <c r="F89" s="61"/>
      <c r="G89" s="80"/>
      <c r="H89" s="366"/>
      <c r="I89" s="98"/>
      <c r="J89" s="82"/>
      <c r="K89" s="58"/>
      <c r="L89" s="58"/>
      <c r="M89" s="58"/>
      <c r="N89" s="402"/>
      <c r="O89" s="98"/>
      <c r="P89" s="82"/>
      <c r="R89" s="58"/>
      <c r="S89" s="58"/>
      <c r="T89" s="58"/>
      <c r="U89" s="58"/>
      <c r="V89" s="58">
        <v>260</v>
      </c>
      <c r="W89" s="58"/>
      <c r="X89" s="58"/>
      <c r="Y89" s="58"/>
      <c r="Z89" s="58"/>
      <c r="AA89" s="58"/>
      <c r="AB89" s="58"/>
      <c r="AC89" s="58"/>
      <c r="AD89" s="58"/>
      <c r="AE89" s="58"/>
      <c r="AF89" s="402"/>
      <c r="AG89" s="58"/>
    </row>
    <row r="90" spans="2:33" hidden="1" outlineLevel="1" x14ac:dyDescent="0.35">
      <c r="B90" t="s">
        <v>241</v>
      </c>
      <c r="C90" s="293" t="s">
        <v>79</v>
      </c>
      <c r="D90" s="78"/>
      <c r="E90" s="79"/>
      <c r="F90" s="61"/>
      <c r="G90" s="80"/>
      <c r="I90" s="98"/>
      <c r="J90" s="82"/>
      <c r="K90" s="58"/>
      <c r="L90" s="58"/>
      <c r="M90" s="58"/>
      <c r="N90" s="402"/>
      <c r="O90" s="98"/>
      <c r="P90" s="82"/>
      <c r="R90" s="58"/>
      <c r="S90" s="58"/>
      <c r="T90" s="58"/>
      <c r="U90" s="58"/>
      <c r="V90" s="58"/>
      <c r="X90" s="58">
        <v>150</v>
      </c>
      <c r="Y90" s="58"/>
      <c r="Z90" s="58"/>
      <c r="AA90" s="58"/>
      <c r="AB90" s="58"/>
      <c r="AC90" s="58"/>
      <c r="AD90" s="58"/>
      <c r="AE90" s="58"/>
      <c r="AF90" s="402"/>
      <c r="AG90" s="58"/>
    </row>
    <row r="91" spans="2:33" hidden="1" outlineLevel="1" x14ac:dyDescent="0.35">
      <c r="B91" t="s">
        <v>64</v>
      </c>
      <c r="C91" s="293" t="s">
        <v>83</v>
      </c>
      <c r="D91" s="78"/>
      <c r="E91" s="79"/>
      <c r="F91" s="61"/>
      <c r="G91" s="80"/>
      <c r="H91" s="366"/>
      <c r="I91" s="98"/>
      <c r="J91" s="82"/>
      <c r="K91" s="58"/>
      <c r="L91" s="58"/>
      <c r="M91" s="58"/>
      <c r="N91" s="402"/>
      <c r="O91" s="98"/>
      <c r="P91" s="82"/>
      <c r="Q91" s="58"/>
      <c r="R91" s="58"/>
      <c r="S91" s="58"/>
      <c r="T91" s="58"/>
      <c r="U91" s="58"/>
      <c r="V91" s="58"/>
      <c r="X91" s="58"/>
      <c r="Y91" s="58"/>
      <c r="Z91" s="58">
        <v>250</v>
      </c>
      <c r="AA91" s="58">
        <v>100</v>
      </c>
      <c r="AB91" s="58"/>
      <c r="AC91" s="58"/>
      <c r="AD91" s="58"/>
      <c r="AE91" s="58"/>
      <c r="AF91" s="402"/>
      <c r="AG91" s="58"/>
    </row>
    <row r="92" spans="2:33" hidden="1" outlineLevel="1" x14ac:dyDescent="0.35">
      <c r="B92" t="s">
        <v>66</v>
      </c>
      <c r="C92" s="293" t="s">
        <v>84</v>
      </c>
      <c r="D92" s="78"/>
      <c r="E92" s="79"/>
      <c r="F92" s="61"/>
      <c r="G92" s="80"/>
      <c r="H92" s="366"/>
      <c r="I92" s="98"/>
      <c r="J92" s="82"/>
      <c r="K92" s="58"/>
      <c r="L92" s="58"/>
      <c r="M92" s="58"/>
      <c r="N92" s="402"/>
      <c r="O92" s="98"/>
      <c r="P92" s="82"/>
      <c r="Q92" s="58"/>
      <c r="R92" s="58"/>
      <c r="S92" s="58"/>
      <c r="T92" s="58"/>
      <c r="U92" s="58"/>
      <c r="V92" s="58"/>
      <c r="X92" s="58"/>
      <c r="Y92" s="58"/>
      <c r="Z92" s="58"/>
      <c r="AA92" s="58"/>
      <c r="AC92" s="58">
        <v>75</v>
      </c>
      <c r="AD92" s="58"/>
      <c r="AE92" s="58"/>
      <c r="AF92" s="402"/>
      <c r="AG92" s="58"/>
    </row>
    <row r="93" spans="2:33" hidden="1" outlineLevel="1" x14ac:dyDescent="0.35">
      <c r="B93" t="s">
        <v>68</v>
      </c>
      <c r="C93" s="293" t="s">
        <v>85</v>
      </c>
      <c r="D93" s="78"/>
      <c r="E93" s="79"/>
      <c r="F93" s="61"/>
      <c r="G93" s="80"/>
      <c r="H93" s="366"/>
      <c r="I93" s="98"/>
      <c r="J93" s="82"/>
      <c r="K93" s="58"/>
      <c r="L93" s="58"/>
      <c r="M93" s="58"/>
      <c r="N93" s="402"/>
      <c r="O93" s="98"/>
      <c r="P93" s="82"/>
      <c r="Q93" s="58"/>
      <c r="R93" s="58"/>
      <c r="S93" s="58"/>
      <c r="T93" s="58"/>
      <c r="U93" s="58"/>
      <c r="V93" s="58"/>
      <c r="X93" s="58"/>
      <c r="Y93" s="58"/>
      <c r="Z93" s="58"/>
      <c r="AA93" s="58"/>
      <c r="AC93" s="58"/>
      <c r="AD93" s="58">
        <v>125</v>
      </c>
      <c r="AE93" s="58"/>
      <c r="AF93" s="402"/>
      <c r="AG93" s="58"/>
    </row>
    <row r="94" spans="2:33" hidden="1" outlineLevel="1" x14ac:dyDescent="0.35">
      <c r="B94" t="s">
        <v>70</v>
      </c>
      <c r="C94" s="293" t="s">
        <v>86</v>
      </c>
      <c r="D94" s="78"/>
      <c r="E94" s="79"/>
      <c r="F94" s="61"/>
      <c r="G94" s="80"/>
      <c r="H94" s="366"/>
      <c r="I94" s="98"/>
      <c r="J94" s="82"/>
      <c r="K94" s="58"/>
      <c r="L94" s="58"/>
      <c r="M94" s="58"/>
      <c r="N94" s="402"/>
      <c r="O94" s="98"/>
      <c r="P94" s="82"/>
      <c r="Q94" s="58"/>
      <c r="R94" s="58"/>
      <c r="S94" s="58"/>
      <c r="T94" s="58"/>
      <c r="U94" s="58"/>
      <c r="V94" s="58"/>
      <c r="W94" s="58"/>
      <c r="X94" s="58"/>
      <c r="Y94" s="58"/>
      <c r="Z94" s="58"/>
      <c r="AB94" s="58"/>
      <c r="AC94" s="58"/>
      <c r="AE94" s="58">
        <v>100</v>
      </c>
      <c r="AF94" s="402"/>
      <c r="AG94" s="58"/>
    </row>
    <row r="95" spans="2:33" hidden="1" outlineLevel="1" x14ac:dyDescent="0.35">
      <c r="B95" t="s">
        <v>242</v>
      </c>
      <c r="C95" s="458" t="s">
        <v>240</v>
      </c>
      <c r="D95" s="78"/>
      <c r="E95" s="79"/>
      <c r="F95" s="434"/>
      <c r="G95" s="80"/>
      <c r="H95" s="366"/>
      <c r="I95" s="98"/>
      <c r="J95" s="82"/>
      <c r="K95" s="58"/>
      <c r="L95" s="58"/>
      <c r="M95" s="58"/>
      <c r="N95" s="402"/>
      <c r="O95" s="98"/>
      <c r="P95" s="82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402"/>
      <c r="AG95" s="58"/>
    </row>
    <row r="96" spans="2:33" hidden="1" outlineLevel="1" x14ac:dyDescent="0.35">
      <c r="B96" t="s">
        <v>243</v>
      </c>
      <c r="C96" s="293" t="s">
        <v>239</v>
      </c>
      <c r="D96" s="78"/>
      <c r="E96" s="79"/>
      <c r="F96" s="434"/>
      <c r="G96" s="80"/>
      <c r="H96" s="366"/>
      <c r="I96" s="98"/>
      <c r="J96" s="82"/>
      <c r="K96" s="58"/>
      <c r="L96" s="58"/>
      <c r="M96" s="58"/>
      <c r="N96" s="402"/>
      <c r="O96" s="98"/>
      <c r="P96" s="82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D96" s="58">
        <v>60</v>
      </c>
      <c r="AE96" s="58">
        <v>330</v>
      </c>
      <c r="AF96" s="402"/>
      <c r="AG96" s="58"/>
    </row>
    <row r="97" spans="2:33" hidden="1" outlineLevel="1" x14ac:dyDescent="0.35">
      <c r="B97" t="s">
        <v>244</v>
      </c>
      <c r="C97" s="293" t="s">
        <v>245</v>
      </c>
      <c r="D97" s="78"/>
      <c r="E97" s="79"/>
      <c r="F97" s="434"/>
      <c r="G97" s="80"/>
      <c r="H97" s="366"/>
      <c r="I97" s="98"/>
      <c r="J97" s="82"/>
      <c r="K97" s="58"/>
      <c r="L97" s="58"/>
      <c r="M97" s="58"/>
      <c r="N97" s="402"/>
      <c r="O97" s="98"/>
      <c r="P97" s="82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E97" s="58">
        <v>140</v>
      </c>
      <c r="AF97" s="402">
        <v>425</v>
      </c>
      <c r="AG97" s="58">
        <v>200</v>
      </c>
    </row>
    <row r="98" spans="2:33" hidden="1" outlineLevel="1" x14ac:dyDescent="0.35">
      <c r="B98" t="s">
        <v>246</v>
      </c>
      <c r="C98" s="293" t="s">
        <v>247</v>
      </c>
      <c r="D98" s="78"/>
      <c r="E98" s="79"/>
      <c r="F98" s="434"/>
      <c r="G98" s="80"/>
      <c r="H98" s="366"/>
      <c r="I98" s="98"/>
      <c r="J98" s="82"/>
      <c r="K98" s="58"/>
      <c r="L98" s="58"/>
      <c r="M98" s="58"/>
      <c r="N98" s="402"/>
      <c r="O98" s="98"/>
      <c r="P98" s="82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402"/>
      <c r="AG98" s="58">
        <v>140</v>
      </c>
    </row>
    <row r="99" spans="2:33" hidden="1" outlineLevel="1" x14ac:dyDescent="0.35">
      <c r="B99" t="s">
        <v>248</v>
      </c>
      <c r="C99" s="293" t="s">
        <v>249</v>
      </c>
      <c r="D99" s="78"/>
      <c r="E99" s="79"/>
      <c r="F99" s="434"/>
      <c r="G99" s="80"/>
      <c r="H99" s="366"/>
      <c r="I99" s="98"/>
      <c r="J99" s="82"/>
      <c r="K99" s="58"/>
      <c r="L99" s="58"/>
      <c r="M99" s="58"/>
      <c r="N99" s="402"/>
      <c r="O99" s="98"/>
      <c r="P99" s="82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402"/>
      <c r="AG99" s="58">
        <v>30</v>
      </c>
    </row>
    <row r="100" spans="2:33" hidden="1" outlineLevel="1" x14ac:dyDescent="0.35">
      <c r="C100" s="293" t="s">
        <v>87</v>
      </c>
      <c r="D100" s="78"/>
      <c r="E100" s="79"/>
      <c r="F100" s="80">
        <v>6</v>
      </c>
      <c r="G100" s="80">
        <v>18.3</v>
      </c>
      <c r="H100" s="366">
        <v>5</v>
      </c>
      <c r="I100" s="98">
        <v>3</v>
      </c>
      <c r="J100" s="82">
        <v>3</v>
      </c>
      <c r="K100" s="58">
        <v>3</v>
      </c>
      <c r="L100" s="58">
        <v>3</v>
      </c>
      <c r="M100" s="58">
        <v>3</v>
      </c>
      <c r="N100" s="402">
        <v>3</v>
      </c>
      <c r="O100" s="98">
        <v>3</v>
      </c>
      <c r="P100" s="82">
        <v>3</v>
      </c>
      <c r="Q100" s="58">
        <v>3</v>
      </c>
      <c r="R100" s="58">
        <v>3</v>
      </c>
      <c r="S100" s="58">
        <v>3</v>
      </c>
      <c r="T100" s="58">
        <v>3</v>
      </c>
      <c r="U100" s="58">
        <v>3</v>
      </c>
      <c r="V100" s="58">
        <v>3</v>
      </c>
      <c r="W100" s="58">
        <v>3</v>
      </c>
      <c r="X100" s="58">
        <v>3</v>
      </c>
      <c r="Y100" s="58">
        <v>3</v>
      </c>
      <c r="Z100" s="58">
        <v>3</v>
      </c>
      <c r="AA100" s="58">
        <v>3</v>
      </c>
      <c r="AB100" s="58">
        <v>3</v>
      </c>
      <c r="AC100" s="58">
        <v>3</v>
      </c>
      <c r="AD100" s="58">
        <v>3</v>
      </c>
      <c r="AE100" s="58">
        <v>3</v>
      </c>
      <c r="AF100" s="402">
        <v>3</v>
      </c>
      <c r="AG100" s="58">
        <v>3</v>
      </c>
    </row>
    <row r="101" spans="2:33" ht="15" collapsed="1" thickBot="1" x14ac:dyDescent="0.4">
      <c r="C101" s="297" t="s">
        <v>88</v>
      </c>
      <c r="D101" s="101"/>
      <c r="E101" s="102"/>
      <c r="F101" s="103">
        <f t="shared" ref="F101:AG101" si="301">SUM(F74:F80)</f>
        <v>-105.43804356861096</v>
      </c>
      <c r="G101" s="104">
        <f t="shared" si="301"/>
        <v>-94.604658645302777</v>
      </c>
      <c r="H101" s="371">
        <f t="shared" si="301"/>
        <v>-60.117928700224056</v>
      </c>
      <c r="I101" s="105">
        <f t="shared" si="301"/>
        <v>-18.717171107872673</v>
      </c>
      <c r="J101" s="106">
        <f t="shared" si="301"/>
        <v>12.637492151591857</v>
      </c>
      <c r="K101" s="107">
        <f t="shared" si="301"/>
        <v>139.24244313199856</v>
      </c>
      <c r="L101" s="107">
        <f t="shared" si="301"/>
        <v>278.25739411240528</v>
      </c>
      <c r="M101" s="107">
        <f t="shared" si="301"/>
        <v>421.61877433312611</v>
      </c>
      <c r="N101" s="405">
        <f t="shared" si="301"/>
        <v>603.71215455384697</v>
      </c>
      <c r="O101" s="105">
        <f t="shared" si="301"/>
        <v>750.41053477456785</v>
      </c>
      <c r="P101" s="106">
        <f t="shared" si="301"/>
        <v>699.44877347591682</v>
      </c>
      <c r="Q101" s="107">
        <f t="shared" si="301"/>
        <v>888.0980121772659</v>
      </c>
      <c r="R101" s="107">
        <f t="shared" si="301"/>
        <v>895.35825087861497</v>
      </c>
      <c r="S101" s="107">
        <f t="shared" si="301"/>
        <v>1087.2294895799641</v>
      </c>
      <c r="T101" s="107">
        <f t="shared" si="301"/>
        <v>1131.1257282813133</v>
      </c>
      <c r="U101" s="107">
        <f t="shared" si="301"/>
        <v>1326.2189669826623</v>
      </c>
      <c r="V101" s="107">
        <f t="shared" si="301"/>
        <v>1190.5372056840115</v>
      </c>
      <c r="W101" s="107">
        <f t="shared" si="301"/>
        <v>1389.6804443853605</v>
      </c>
      <c r="X101" s="107">
        <f t="shared" si="301"/>
        <v>1393.9346830867096</v>
      </c>
      <c r="Y101" s="107">
        <f t="shared" si="301"/>
        <v>1595.8859217880588</v>
      </c>
      <c r="Z101" s="107">
        <f t="shared" si="301"/>
        <v>1464.8621604894079</v>
      </c>
      <c r="AA101" s="107">
        <f t="shared" si="301"/>
        <v>1535.3633991907568</v>
      </c>
      <c r="AB101" s="107">
        <f t="shared" si="301"/>
        <v>1742.5616378921059</v>
      </c>
      <c r="AC101" s="107">
        <f t="shared" si="301"/>
        <v>1847.909876593455</v>
      </c>
      <c r="AD101" s="107">
        <f t="shared" si="301"/>
        <v>1806.4656860544899</v>
      </c>
      <c r="AE101" s="107">
        <f t="shared" si="301"/>
        <v>1639.6612077945824</v>
      </c>
      <c r="AF101" s="405">
        <f t="shared" si="301"/>
        <v>1247.1948780408852</v>
      </c>
      <c r="AG101" s="107">
        <f t="shared" si="301"/>
        <v>936.57511904687408</v>
      </c>
    </row>
    <row r="102" spans="2:33" x14ac:dyDescent="0.35">
      <c r="C102" s="298" t="s">
        <v>89</v>
      </c>
      <c r="D102" s="108"/>
      <c r="E102" s="109"/>
      <c r="F102" s="94">
        <f t="shared" ref="F102:AG102" si="302">F72+F101</f>
        <v>129.56195643138904</v>
      </c>
      <c r="G102" s="95">
        <f t="shared" si="302"/>
        <v>180.39534135469722</v>
      </c>
      <c r="H102" s="370">
        <f t="shared" si="302"/>
        <v>209.90207129977591</v>
      </c>
      <c r="I102" s="96">
        <f t="shared" si="302"/>
        <v>262.19199658863653</v>
      </c>
      <c r="J102" s="94">
        <f t="shared" si="302"/>
        <v>283.04072801283013</v>
      </c>
      <c r="K102" s="97">
        <f t="shared" si="302"/>
        <v>374.22778370835852</v>
      </c>
      <c r="L102" s="97">
        <f t="shared" si="302"/>
        <v>556.58483940388692</v>
      </c>
      <c r="M102" s="97">
        <f t="shared" si="302"/>
        <v>656.96596820020068</v>
      </c>
      <c r="N102" s="404">
        <f t="shared" si="302"/>
        <v>813.83909699651429</v>
      </c>
      <c r="O102" s="96">
        <f t="shared" si="302"/>
        <v>901.13722579282796</v>
      </c>
      <c r="P102" s="94">
        <f t="shared" si="302"/>
        <v>662.93050079071202</v>
      </c>
      <c r="Q102" s="97">
        <f t="shared" si="302"/>
        <v>861.15477578859623</v>
      </c>
      <c r="R102" s="97">
        <f t="shared" si="302"/>
        <v>930.31005078648036</v>
      </c>
      <c r="S102" s="97">
        <f t="shared" si="302"/>
        <v>1179.7874742905749</v>
      </c>
      <c r="T102" s="97">
        <f t="shared" si="302"/>
        <v>1037.5598977946693</v>
      </c>
      <c r="U102" s="97">
        <f t="shared" si="302"/>
        <v>1226.5993212987635</v>
      </c>
      <c r="V102" s="97">
        <f t="shared" si="302"/>
        <v>1196.433744802858</v>
      </c>
      <c r="W102" s="97">
        <f t="shared" si="302"/>
        <v>1389.2616732498861</v>
      </c>
      <c r="X102" s="97">
        <f t="shared" si="302"/>
        <v>1208.1206016969145</v>
      </c>
      <c r="Y102" s="97">
        <f t="shared" si="302"/>
        <v>1451.8465301439428</v>
      </c>
      <c r="Z102" s="97">
        <f t="shared" si="302"/>
        <v>1445.1674585909714</v>
      </c>
      <c r="AA102" s="97">
        <f t="shared" si="302"/>
        <v>1485.6245355442097</v>
      </c>
      <c r="AB102" s="97">
        <f t="shared" si="302"/>
        <v>1912.3486124974481</v>
      </c>
      <c r="AC102" s="97">
        <f t="shared" si="302"/>
        <v>1956.4477889824668</v>
      </c>
      <c r="AD102" s="97">
        <f t="shared" si="302"/>
        <v>1864.0764996767787</v>
      </c>
      <c r="AE102" s="97">
        <f t="shared" si="302"/>
        <v>1782.389922650148</v>
      </c>
      <c r="AF102" s="404">
        <f t="shared" si="302"/>
        <v>1766.7188502692568</v>
      </c>
      <c r="AG102" s="97">
        <f t="shared" si="302"/>
        <v>1852.7143486480513</v>
      </c>
    </row>
    <row r="103" spans="2:33" x14ac:dyDescent="0.35">
      <c r="C103" s="110" t="s">
        <v>117</v>
      </c>
      <c r="D103" s="111"/>
      <c r="E103" s="111"/>
      <c r="F103" s="112">
        <v>80</v>
      </c>
      <c r="G103" s="80">
        <v>100</v>
      </c>
      <c r="H103" s="366">
        <f>G103</f>
        <v>100</v>
      </c>
      <c r="I103" s="98">
        <f t="shared" ref="I103:L103" si="303">H103</f>
        <v>100</v>
      </c>
      <c r="J103" s="82">
        <f t="shared" si="303"/>
        <v>100</v>
      </c>
      <c r="K103" s="82">
        <f t="shared" si="303"/>
        <v>100</v>
      </c>
      <c r="L103" s="82">
        <f t="shared" si="303"/>
        <v>100</v>
      </c>
      <c r="M103" s="82">
        <f t="shared" ref="M103" si="304">L103</f>
        <v>100</v>
      </c>
      <c r="N103" s="400">
        <f t="shared" ref="N103" si="305">M103</f>
        <v>100</v>
      </c>
      <c r="O103" s="98">
        <f t="shared" ref="O103" si="306">N103</f>
        <v>100</v>
      </c>
      <c r="P103" s="82">
        <f>O103</f>
        <v>100</v>
      </c>
      <c r="Q103" s="82">
        <f t="shared" ref="Q103" si="307">P103</f>
        <v>100</v>
      </c>
      <c r="R103" s="82">
        <f t="shared" ref="R103" si="308">Q103</f>
        <v>100</v>
      </c>
      <c r="S103" s="82">
        <f t="shared" ref="S103" si="309">R103</f>
        <v>100</v>
      </c>
      <c r="T103" s="82">
        <f t="shared" ref="T103" si="310">S103</f>
        <v>100</v>
      </c>
      <c r="U103" s="82">
        <f t="shared" ref="U103" si="311">T103</f>
        <v>100</v>
      </c>
      <c r="V103" s="82">
        <f t="shared" ref="V103" si="312">U103</f>
        <v>100</v>
      </c>
      <c r="W103" s="82">
        <f t="shared" ref="W103" si="313">V103</f>
        <v>100</v>
      </c>
      <c r="X103" s="82">
        <f t="shared" ref="X103" si="314">W103</f>
        <v>100</v>
      </c>
      <c r="Y103" s="82">
        <f t="shared" ref="Y103" si="315">X103</f>
        <v>100</v>
      </c>
      <c r="Z103" s="82">
        <f t="shared" ref="Z103" si="316">Y103</f>
        <v>100</v>
      </c>
      <c r="AA103" s="82">
        <f t="shared" ref="AA103" si="317">Z103</f>
        <v>100</v>
      </c>
      <c r="AB103" s="82">
        <f t="shared" ref="AB103" si="318">AA103</f>
        <v>100</v>
      </c>
      <c r="AC103" s="82">
        <f t="shared" ref="AC103" si="319">AB103</f>
        <v>100</v>
      </c>
      <c r="AD103" s="82">
        <f t="shared" ref="AD103" si="320">AC103</f>
        <v>100</v>
      </c>
      <c r="AE103" s="82">
        <f t="shared" ref="AE103" si="321">AD103</f>
        <v>100</v>
      </c>
      <c r="AF103" s="400">
        <f t="shared" ref="AF103" si="322">AE103</f>
        <v>100</v>
      </c>
      <c r="AG103" s="58">
        <f t="shared" ref="AG103" si="323">AF103</f>
        <v>100</v>
      </c>
    </row>
    <row r="104" spans="2:33" ht="15.5" hidden="1" outlineLevel="1" x14ac:dyDescent="0.35">
      <c r="C104" s="292" t="s">
        <v>114</v>
      </c>
      <c r="D104" s="113"/>
      <c r="E104" s="114"/>
      <c r="F104" s="115"/>
      <c r="G104" s="116"/>
      <c r="H104" s="372">
        <f t="shared" ref="H104:AG104" si="324">H103+H102+H47</f>
        <v>306.25343550271072</v>
      </c>
      <c r="I104" s="338">
        <f t="shared" si="324"/>
        <v>368.03256914699591</v>
      </c>
      <c r="J104" s="378">
        <f t="shared" si="324"/>
        <v>390.32352183306733</v>
      </c>
      <c r="K104" s="338">
        <f t="shared" si="324"/>
        <v>478.43536663973043</v>
      </c>
      <c r="L104" s="338">
        <f t="shared" si="324"/>
        <v>661.88053217261267</v>
      </c>
      <c r="M104" s="338">
        <f t="shared" si="324"/>
        <v>760.59519954143309</v>
      </c>
      <c r="N104" s="372">
        <f t="shared" si="324"/>
        <v>913.39864173207297</v>
      </c>
      <c r="O104" s="338">
        <f t="shared" si="324"/>
        <v>1002.5421558281918</v>
      </c>
      <c r="P104" s="378">
        <f t="shared" si="324"/>
        <v>764.31225818643031</v>
      </c>
      <c r="Q104" s="338">
        <f t="shared" si="324"/>
        <v>960.58149137719727</v>
      </c>
      <c r="R104" s="338">
        <f t="shared" si="324"/>
        <v>1027.408371291104</v>
      </c>
      <c r="S104" s="338">
        <f t="shared" si="324"/>
        <v>1275.7415984115257</v>
      </c>
      <c r="T104" s="338">
        <f t="shared" si="324"/>
        <v>1135.8303151249338</v>
      </c>
      <c r="U104" s="338">
        <f t="shared" si="324"/>
        <v>1319.4032299039122</v>
      </c>
      <c r="V104" s="338">
        <f t="shared" si="324"/>
        <v>1287.0962338728966</v>
      </c>
      <c r="W104" s="338">
        <f t="shared" si="324"/>
        <v>1481.0386047390089</v>
      </c>
      <c r="X104" s="338">
        <f t="shared" si="324"/>
        <v>1303.4778546273014</v>
      </c>
      <c r="Y104" s="338">
        <f t="shared" si="324"/>
        <v>1542.7222858987764</v>
      </c>
      <c r="Z104" s="338">
        <f t="shared" si="324"/>
        <v>1534.6036044276329</v>
      </c>
      <c r="AA104" s="338">
        <f t="shared" si="324"/>
        <v>1576.5894834552801</v>
      </c>
      <c r="AB104" s="338">
        <f t="shared" si="324"/>
        <v>1999.8056553581919</v>
      </c>
      <c r="AC104" s="338">
        <f t="shared" si="324"/>
        <v>2043.2150653370115</v>
      </c>
      <c r="AD104" s="338">
        <f t="shared" si="324"/>
        <v>1948.9300457119814</v>
      </c>
      <c r="AE104" s="338">
        <f t="shared" si="324"/>
        <v>1867.9930614467039</v>
      </c>
      <c r="AF104" s="372">
        <f t="shared" si="324"/>
        <v>1847.7252094568671</v>
      </c>
      <c r="AG104" s="421">
        <f t="shared" si="324"/>
        <v>1931.6277565465969</v>
      </c>
    </row>
    <row r="105" spans="2:33" hidden="1" outlineLevel="1" x14ac:dyDescent="0.35">
      <c r="C105" s="287" t="s">
        <v>31</v>
      </c>
      <c r="D105" s="59"/>
      <c r="E105" s="51"/>
      <c r="F105" s="52">
        <f>F103+F74+F50+F32</f>
        <v>579.5</v>
      </c>
      <c r="G105" s="52">
        <f>F116</f>
        <v>238.40795643138895</v>
      </c>
      <c r="H105" s="373">
        <f>G116</f>
        <v>275.33975649976969</v>
      </c>
      <c r="I105" s="384">
        <f t="shared" ref="I105:L105" si="325">H116</f>
        <v>306.25343550271077</v>
      </c>
      <c r="J105" s="52">
        <f t="shared" si="325"/>
        <v>368.03256914699591</v>
      </c>
      <c r="K105" s="52">
        <f t="shared" si="325"/>
        <v>390.32352183306716</v>
      </c>
      <c r="L105" s="52">
        <f t="shared" si="325"/>
        <v>478.43536663973049</v>
      </c>
      <c r="M105" s="52">
        <f t="shared" ref="M105" si="326">L116</f>
        <v>661.88053217261279</v>
      </c>
      <c r="N105" s="373">
        <f t="shared" ref="N105" si="327">M116</f>
        <v>760.59519954143343</v>
      </c>
      <c r="O105" s="384">
        <f t="shared" ref="O105" si="328">N116</f>
        <v>913.39864173207366</v>
      </c>
      <c r="P105" s="52">
        <f>O116</f>
        <v>1002.5421558281924</v>
      </c>
      <c r="Q105" s="52">
        <f t="shared" ref="Q105" si="329">P116</f>
        <v>764.31225818643111</v>
      </c>
      <c r="R105" s="52">
        <f t="shared" ref="R105" si="330">Q116</f>
        <v>960.58149137719761</v>
      </c>
      <c r="S105" s="52">
        <f t="shared" ref="S105" si="331">R116</f>
        <v>1027.408371291104</v>
      </c>
      <c r="T105" s="52">
        <f t="shared" ref="T105" si="332">S116</f>
        <v>1275.7415984115255</v>
      </c>
      <c r="U105" s="52">
        <f t="shared" ref="U105" si="333">T116</f>
        <v>1135.8303151249336</v>
      </c>
      <c r="V105" s="52">
        <f t="shared" ref="V105" si="334">U116</f>
        <v>1319.403229903912</v>
      </c>
      <c r="W105" s="52">
        <f t="shared" ref="W105" si="335">V116</f>
        <v>1287.0962338728959</v>
      </c>
      <c r="X105" s="52">
        <f t="shared" ref="X105" si="336">W116</f>
        <v>1481.038604739008</v>
      </c>
      <c r="Y105" s="52">
        <f t="shared" ref="Y105" si="337">X116</f>
        <v>1303.4778546273005</v>
      </c>
      <c r="Z105" s="52">
        <f t="shared" ref="Z105" si="338">Y116</f>
        <v>1542.722285898775</v>
      </c>
      <c r="AA105" s="52">
        <f t="shared" ref="AA105" si="339">Z116</f>
        <v>1534.6036044276314</v>
      </c>
      <c r="AB105" s="52">
        <f t="shared" ref="AB105" si="340">AA116</f>
        <v>1576.5894834552782</v>
      </c>
      <c r="AC105" s="52">
        <f t="shared" ref="AC105" si="341">AB116</f>
        <v>1999.8056553581901</v>
      </c>
      <c r="AD105" s="52">
        <f t="shared" ref="AD105" si="342">AC116</f>
        <v>2043.2150653370102</v>
      </c>
      <c r="AE105" s="52">
        <f t="shared" ref="AE105" si="343">AD116</f>
        <v>1948.9300457119803</v>
      </c>
      <c r="AF105" s="373">
        <f t="shared" ref="AF105" si="344">AE116</f>
        <v>1867.9930614467028</v>
      </c>
      <c r="AG105" s="57">
        <f t="shared" ref="AG105" si="345">AF116</f>
        <v>1847.7252094568662</v>
      </c>
    </row>
    <row r="106" spans="2:33" hidden="1" outlineLevel="1" x14ac:dyDescent="0.35">
      <c r="C106" s="294" t="s">
        <v>90</v>
      </c>
      <c r="D106" s="87">
        <f t="shared" ref="D106:AG106" si="346">D75+0.001*(D34+D35)</f>
        <v>153.99799999999999</v>
      </c>
      <c r="E106" s="87">
        <f t="shared" si="346"/>
        <v>160.21600000000001</v>
      </c>
      <c r="F106" s="87">
        <f t="shared" si="346"/>
        <v>177.14600000000002</v>
      </c>
      <c r="G106" s="88">
        <f t="shared" si="346"/>
        <v>190.48</v>
      </c>
      <c r="H106" s="374">
        <f t="shared" si="346"/>
        <v>195.1</v>
      </c>
      <c r="I106" s="117">
        <f t="shared" si="346"/>
        <v>210.9</v>
      </c>
      <c r="J106" s="118">
        <f t="shared" si="346"/>
        <v>222.76800000000003</v>
      </c>
      <c r="K106" s="119">
        <f t="shared" si="346"/>
        <v>246.13200000000001</v>
      </c>
      <c r="L106" s="119">
        <f t="shared" si="346"/>
        <v>275.32800000000003</v>
      </c>
      <c r="M106" s="119">
        <f t="shared" si="346"/>
        <v>298.27200000000005</v>
      </c>
      <c r="N106" s="406">
        <f t="shared" si="346"/>
        <v>321.88800000000003</v>
      </c>
      <c r="O106" s="117">
        <f t="shared" si="346"/>
        <v>350.62800000000004</v>
      </c>
      <c r="P106" s="118">
        <f t="shared" si="346"/>
        <v>373.62</v>
      </c>
      <c r="Q106" s="119">
        <f t="shared" si="346"/>
        <v>396.61199999999997</v>
      </c>
      <c r="R106" s="119">
        <f t="shared" si="346"/>
        <v>419.60399999999998</v>
      </c>
      <c r="S106" s="119">
        <f t="shared" si="346"/>
        <v>442.596</v>
      </c>
      <c r="T106" s="119">
        <f t="shared" si="346"/>
        <v>471.33600000000001</v>
      </c>
      <c r="U106" s="119">
        <f t="shared" si="346"/>
        <v>488.58</v>
      </c>
      <c r="V106" s="119">
        <f t="shared" si="346"/>
        <v>517.32000000000005</v>
      </c>
      <c r="W106" s="119">
        <f t="shared" si="346"/>
        <v>546.06000000000006</v>
      </c>
      <c r="X106" s="119">
        <f t="shared" si="346"/>
        <v>569.05200000000002</v>
      </c>
      <c r="Y106" s="119">
        <f t="shared" si="346"/>
        <v>586.29599999999994</v>
      </c>
      <c r="Z106" s="119">
        <f t="shared" si="346"/>
        <v>615.03600000000006</v>
      </c>
      <c r="AA106" s="119">
        <f t="shared" si="346"/>
        <v>643.77600000000007</v>
      </c>
      <c r="AB106" s="119">
        <f t="shared" si="346"/>
        <v>661.02</v>
      </c>
      <c r="AC106" s="119">
        <f t="shared" si="346"/>
        <v>689.76</v>
      </c>
      <c r="AD106" s="119">
        <f t="shared" si="346"/>
        <v>712.75200000000007</v>
      </c>
      <c r="AE106" s="119">
        <f t="shared" si="346"/>
        <v>741.49199999999996</v>
      </c>
      <c r="AF106" s="406">
        <f t="shared" si="346"/>
        <v>758.73599999999999</v>
      </c>
      <c r="AG106" s="119">
        <f t="shared" si="346"/>
        <v>787.476</v>
      </c>
    </row>
    <row r="107" spans="2:33" hidden="1" outlineLevel="1" x14ac:dyDescent="0.35">
      <c r="C107" s="293" t="s">
        <v>91</v>
      </c>
      <c r="D107" s="61">
        <f t="shared" ref="D107:AG107" si="347">0.001*D36</f>
        <v>51.356000000000002</v>
      </c>
      <c r="E107" s="61">
        <f t="shared" si="347"/>
        <v>47.643999999999998</v>
      </c>
      <c r="F107" s="61">
        <f t="shared" si="347"/>
        <v>49.188000000000002</v>
      </c>
      <c r="G107" s="80">
        <f t="shared" si="347"/>
        <v>60.896999999999998</v>
      </c>
      <c r="H107" s="303">
        <f t="shared" si="347"/>
        <v>73.400000000000006</v>
      </c>
      <c r="I107" s="81">
        <f t="shared" si="347"/>
        <v>92.028882793017459</v>
      </c>
      <c r="J107" s="83">
        <f t="shared" si="347"/>
        <v>92.028882793017473</v>
      </c>
      <c r="K107" s="76">
        <f t="shared" si="347"/>
        <v>92.25667705735664</v>
      </c>
      <c r="L107" s="76">
        <f t="shared" si="347"/>
        <v>95.567287032418989</v>
      </c>
      <c r="M107" s="76">
        <f t="shared" si="347"/>
        <v>95.802674438902756</v>
      </c>
      <c r="N107" s="304">
        <f t="shared" si="347"/>
        <v>95.802674438902756</v>
      </c>
      <c r="O107" s="81">
        <f t="shared" si="347"/>
        <v>99.136063840399032</v>
      </c>
      <c r="P107" s="83">
        <f t="shared" si="347"/>
        <v>99.136063840399032</v>
      </c>
      <c r="Q107" s="76">
        <f t="shared" si="347"/>
        <v>99.136063840399032</v>
      </c>
      <c r="R107" s="76">
        <f t="shared" si="347"/>
        <v>100.68506483790526</v>
      </c>
      <c r="S107" s="76">
        <f t="shared" si="347"/>
        <v>103.78306683291774</v>
      </c>
      <c r="T107" s="76">
        <f t="shared" si="347"/>
        <v>103.78306683291774</v>
      </c>
      <c r="U107" s="76">
        <f t="shared" si="347"/>
        <v>103.78306683291774</v>
      </c>
      <c r="V107" s="76">
        <f t="shared" si="347"/>
        <v>103.78306683291774</v>
      </c>
      <c r="W107" s="76">
        <f t="shared" si="347"/>
        <v>103.78306683291774</v>
      </c>
      <c r="X107" s="76">
        <f t="shared" si="347"/>
        <v>108.43006982543645</v>
      </c>
      <c r="Y107" s="76">
        <f t="shared" si="347"/>
        <v>108.43006982543645</v>
      </c>
      <c r="Z107" s="76">
        <f t="shared" si="347"/>
        <v>108.43006982543645</v>
      </c>
      <c r="AA107" s="76">
        <f t="shared" si="347"/>
        <v>108.43006982543645</v>
      </c>
      <c r="AB107" s="76">
        <f t="shared" si="347"/>
        <v>111.5280718204489</v>
      </c>
      <c r="AC107" s="76">
        <f t="shared" si="347"/>
        <v>111.5280718204489</v>
      </c>
      <c r="AD107" s="76">
        <f t="shared" si="347"/>
        <v>113.07707281795514</v>
      </c>
      <c r="AE107" s="76">
        <f t="shared" si="347"/>
        <v>113.07707281795514</v>
      </c>
      <c r="AF107" s="304">
        <f t="shared" si="347"/>
        <v>116.17507481296761</v>
      </c>
      <c r="AG107" s="76">
        <f t="shared" si="347"/>
        <v>116.17507481296761</v>
      </c>
    </row>
    <row r="108" spans="2:33" hidden="1" outlineLevel="1" x14ac:dyDescent="0.35">
      <c r="C108" s="293" t="s">
        <v>131</v>
      </c>
      <c r="D108" s="61">
        <f t="shared" ref="D108:AG108" si="348">D76</f>
        <v>0</v>
      </c>
      <c r="E108" s="61">
        <f t="shared" si="348"/>
        <v>0</v>
      </c>
      <c r="F108" s="61">
        <f t="shared" si="348"/>
        <v>67.8</v>
      </c>
      <c r="G108" s="80">
        <f t="shared" si="348"/>
        <v>67.7</v>
      </c>
      <c r="H108" s="303">
        <f t="shared" si="348"/>
        <v>67.824000000000012</v>
      </c>
      <c r="I108" s="81">
        <f t="shared" si="348"/>
        <v>96.492000000000004</v>
      </c>
      <c r="J108" s="83">
        <f t="shared" si="348"/>
        <v>124.872</v>
      </c>
      <c r="K108" s="76">
        <f t="shared" si="348"/>
        <v>142.19999999999999</v>
      </c>
      <c r="L108" s="76">
        <f t="shared" si="348"/>
        <v>159.60000000000002</v>
      </c>
      <c r="M108" s="76">
        <f t="shared" si="348"/>
        <v>177.072</v>
      </c>
      <c r="N108" s="304">
        <f t="shared" si="348"/>
        <v>194.20800000000003</v>
      </c>
      <c r="O108" s="81">
        <f t="shared" si="348"/>
        <v>211.78800000000001</v>
      </c>
      <c r="P108" s="83">
        <f t="shared" si="348"/>
        <v>228.95999999999998</v>
      </c>
      <c r="Q108" s="76">
        <f t="shared" si="348"/>
        <v>228.95999999999998</v>
      </c>
      <c r="R108" s="76">
        <f t="shared" si="348"/>
        <v>228.95999999999998</v>
      </c>
      <c r="S108" s="76">
        <f t="shared" si="348"/>
        <v>228.95999999999998</v>
      </c>
      <c r="T108" s="76">
        <f t="shared" si="348"/>
        <v>228.95999999999998</v>
      </c>
      <c r="U108" s="76">
        <f t="shared" si="348"/>
        <v>228.95999999999998</v>
      </c>
      <c r="V108" s="76">
        <f t="shared" si="348"/>
        <v>228.95999999999998</v>
      </c>
      <c r="W108" s="76">
        <f t="shared" si="348"/>
        <v>228.95999999999998</v>
      </c>
      <c r="X108" s="76">
        <f t="shared" si="348"/>
        <v>228.95999999999998</v>
      </c>
      <c r="Y108" s="76">
        <f t="shared" si="348"/>
        <v>228.95999999999998</v>
      </c>
      <c r="Z108" s="76">
        <f t="shared" si="348"/>
        <v>228.95999999999998</v>
      </c>
      <c r="AA108" s="76">
        <f t="shared" si="348"/>
        <v>228.95999999999998</v>
      </c>
      <c r="AB108" s="76">
        <f t="shared" si="348"/>
        <v>228.95999999999998</v>
      </c>
      <c r="AC108" s="76">
        <f t="shared" si="348"/>
        <v>228.95999999999998</v>
      </c>
      <c r="AD108" s="76">
        <f t="shared" si="348"/>
        <v>228.95999999999998</v>
      </c>
      <c r="AE108" s="76">
        <f t="shared" si="348"/>
        <v>228.95999999999998</v>
      </c>
      <c r="AF108" s="304">
        <f t="shared" si="348"/>
        <v>228.95999999999998</v>
      </c>
      <c r="AG108" s="76">
        <f t="shared" si="348"/>
        <v>228.95999999999998</v>
      </c>
    </row>
    <row r="109" spans="2:33" hidden="1" outlineLevel="1" x14ac:dyDescent="0.35">
      <c r="C109" s="293" t="s">
        <v>92</v>
      </c>
      <c r="D109" s="61">
        <f t="shared" ref="D109:AG109" si="349">0.001*(D37+D38)</f>
        <v>14.835319999999999</v>
      </c>
      <c r="E109" s="61">
        <f t="shared" si="349"/>
        <v>13.97</v>
      </c>
      <c r="F109" s="61">
        <f t="shared" si="349"/>
        <v>11.512</v>
      </c>
      <c r="G109" s="80">
        <f t="shared" si="349"/>
        <v>11.721415145072537</v>
      </c>
      <c r="H109" s="303">
        <f t="shared" si="349"/>
        <v>12.606949057862264</v>
      </c>
      <c r="I109" s="81">
        <f t="shared" si="349"/>
        <v>14.19832556240714</v>
      </c>
      <c r="J109" s="83">
        <f t="shared" si="349"/>
        <v>14.724138468860369</v>
      </c>
      <c r="K109" s="76">
        <f t="shared" si="349"/>
        <v>15.768896053778139</v>
      </c>
      <c r="L109" s="76">
        <f t="shared" si="349"/>
        <v>17.218530324934918</v>
      </c>
      <c r="M109" s="76">
        <f t="shared" si="349"/>
        <v>18.243645804003936</v>
      </c>
      <c r="N109" s="304">
        <f t="shared" si="349"/>
        <v>19.289556259231553</v>
      </c>
      <c r="O109" s="81">
        <f t="shared" si="349"/>
        <v>20.718557109290309</v>
      </c>
      <c r="P109" s="83">
        <f t="shared" si="349"/>
        <v>21.734747704587956</v>
      </c>
      <c r="Q109" s="76">
        <f t="shared" si="349"/>
        <v>22.750938299885608</v>
      </c>
      <c r="R109" s="76">
        <f t="shared" si="349"/>
        <v>23.840904684730148</v>
      </c>
      <c r="S109" s="76">
        <f t="shared" si="349"/>
        <v>25.004646859121586</v>
      </c>
      <c r="T109" s="76">
        <f t="shared" si="349"/>
        <v>26.274885103243644</v>
      </c>
      <c r="U109" s="76">
        <f t="shared" si="349"/>
        <v>27.037028049716884</v>
      </c>
      <c r="V109" s="76">
        <f t="shared" si="349"/>
        <v>28.307266293838946</v>
      </c>
      <c r="W109" s="76">
        <f t="shared" si="349"/>
        <v>29.577504537961005</v>
      </c>
      <c r="X109" s="76">
        <f t="shared" si="349"/>
        <v>30.815022501899335</v>
      </c>
      <c r="Y109" s="76">
        <f t="shared" si="349"/>
        <v>31.577165448372568</v>
      </c>
      <c r="Z109" s="76">
        <f t="shared" si="349"/>
        <v>32.84740369249463</v>
      </c>
      <c r="AA109" s="76">
        <f t="shared" si="349"/>
        <v>34.117641936616693</v>
      </c>
      <c r="AB109" s="76">
        <f t="shared" si="349"/>
        <v>35.027336462183712</v>
      </c>
      <c r="AC109" s="76">
        <f t="shared" si="349"/>
        <v>36.297574706305774</v>
      </c>
      <c r="AD109" s="76">
        <f t="shared" si="349"/>
        <v>37.387541091150318</v>
      </c>
      <c r="AE109" s="76">
        <f t="shared" si="349"/>
        <v>38.65777933527238</v>
      </c>
      <c r="AF109" s="304">
        <f t="shared" si="349"/>
        <v>39.567473860839399</v>
      </c>
      <c r="AG109" s="76">
        <f t="shared" si="349"/>
        <v>40.837712104961462</v>
      </c>
    </row>
    <row r="110" spans="2:33" hidden="1" outlineLevel="1" x14ac:dyDescent="0.35">
      <c r="C110" s="293" t="s">
        <v>93</v>
      </c>
      <c r="D110" s="61">
        <f t="shared" ref="D110:AG110" si="350">D77</f>
        <v>0</v>
      </c>
      <c r="E110" s="61">
        <f t="shared" si="350"/>
        <v>0</v>
      </c>
      <c r="F110" s="61">
        <f t="shared" si="350"/>
        <v>6</v>
      </c>
      <c r="G110" s="80">
        <f t="shared" si="350"/>
        <v>26.5</v>
      </c>
      <c r="H110" s="303">
        <f t="shared" si="350"/>
        <v>12.6</v>
      </c>
      <c r="I110" s="81">
        <f t="shared" si="350"/>
        <v>0</v>
      </c>
      <c r="J110" s="83">
        <f t="shared" si="350"/>
        <v>15</v>
      </c>
      <c r="K110" s="76">
        <f t="shared" si="350"/>
        <v>15</v>
      </c>
      <c r="L110" s="76">
        <f t="shared" si="350"/>
        <v>20</v>
      </c>
      <c r="M110" s="76">
        <f t="shared" si="350"/>
        <v>0</v>
      </c>
      <c r="N110" s="304">
        <f t="shared" si="350"/>
        <v>20</v>
      </c>
      <c r="O110" s="81">
        <f t="shared" si="350"/>
        <v>0</v>
      </c>
      <c r="P110" s="83">
        <f t="shared" si="350"/>
        <v>0</v>
      </c>
      <c r="Q110" s="76">
        <f t="shared" si="350"/>
        <v>0</v>
      </c>
      <c r="R110" s="76">
        <f t="shared" si="350"/>
        <v>0</v>
      </c>
      <c r="S110" s="76">
        <f t="shared" si="350"/>
        <v>0</v>
      </c>
      <c r="T110" s="76">
        <f t="shared" si="350"/>
        <v>0</v>
      </c>
      <c r="U110" s="76">
        <f t="shared" si="350"/>
        <v>0</v>
      </c>
      <c r="V110" s="76">
        <f t="shared" si="350"/>
        <v>0</v>
      </c>
      <c r="W110" s="76">
        <f t="shared" si="350"/>
        <v>0</v>
      </c>
      <c r="X110" s="76">
        <f t="shared" si="350"/>
        <v>0</v>
      </c>
      <c r="Y110" s="76">
        <f t="shared" si="350"/>
        <v>0</v>
      </c>
      <c r="Z110" s="76">
        <f t="shared" si="350"/>
        <v>0</v>
      </c>
      <c r="AA110" s="76">
        <f t="shared" si="350"/>
        <v>0</v>
      </c>
      <c r="AB110" s="76">
        <f t="shared" si="350"/>
        <v>0</v>
      </c>
      <c r="AC110" s="76">
        <f t="shared" si="350"/>
        <v>0</v>
      </c>
      <c r="AD110" s="76">
        <f t="shared" si="350"/>
        <v>0</v>
      </c>
      <c r="AE110" s="76">
        <f t="shared" si="350"/>
        <v>0</v>
      </c>
      <c r="AF110" s="304">
        <f t="shared" si="350"/>
        <v>0</v>
      </c>
      <c r="AG110" s="76">
        <f t="shared" si="350"/>
        <v>0</v>
      </c>
    </row>
    <row r="111" spans="2:33" hidden="1" outlineLevel="1" x14ac:dyDescent="0.35">
      <c r="C111" s="293" t="s">
        <v>94</v>
      </c>
      <c r="D111" s="61">
        <f t="shared" ref="D111:AG111" si="351">D78+D52</f>
        <v>0</v>
      </c>
      <c r="E111" s="61">
        <f t="shared" si="351"/>
        <v>0</v>
      </c>
      <c r="F111" s="61">
        <f t="shared" si="351"/>
        <v>250</v>
      </c>
      <c r="G111" s="80">
        <f t="shared" si="351"/>
        <v>0</v>
      </c>
      <c r="H111" s="303">
        <f t="shared" si="351"/>
        <v>30</v>
      </c>
      <c r="I111" s="81">
        <f t="shared" si="351"/>
        <v>170</v>
      </c>
      <c r="J111" s="83">
        <f t="shared" si="351"/>
        <v>425</v>
      </c>
      <c r="K111" s="76">
        <f t="shared" si="351"/>
        <v>0</v>
      </c>
      <c r="L111" s="76">
        <f t="shared" si="351"/>
        <v>250</v>
      </c>
      <c r="M111" s="76">
        <f t="shared" si="351"/>
        <v>0</v>
      </c>
      <c r="N111" s="304">
        <f t="shared" si="351"/>
        <v>0</v>
      </c>
      <c r="O111" s="81">
        <f t="shared" si="351"/>
        <v>500</v>
      </c>
      <c r="P111" s="83">
        <f t="shared" si="351"/>
        <v>0</v>
      </c>
      <c r="Q111" s="76">
        <f t="shared" si="351"/>
        <v>0</v>
      </c>
      <c r="R111" s="76">
        <f t="shared" si="351"/>
        <v>400</v>
      </c>
      <c r="S111" s="76">
        <f t="shared" si="351"/>
        <v>0</v>
      </c>
      <c r="T111" s="76">
        <f t="shared" si="351"/>
        <v>0</v>
      </c>
      <c r="U111" s="76">
        <f t="shared" si="351"/>
        <v>0</v>
      </c>
      <c r="V111" s="76">
        <f t="shared" si="351"/>
        <v>350</v>
      </c>
      <c r="W111" s="76">
        <f t="shared" si="351"/>
        <v>0</v>
      </c>
      <c r="X111" s="76">
        <f t="shared" si="351"/>
        <v>0</v>
      </c>
      <c r="Y111" s="76">
        <f t="shared" si="351"/>
        <v>0</v>
      </c>
      <c r="Z111" s="76">
        <f t="shared" si="351"/>
        <v>400</v>
      </c>
      <c r="AA111" s="76">
        <f t="shared" si="351"/>
        <v>0</v>
      </c>
      <c r="AB111" s="76">
        <f t="shared" si="351"/>
        <v>0</v>
      </c>
      <c r="AC111" s="76">
        <f t="shared" si="351"/>
        <v>0</v>
      </c>
      <c r="AD111" s="76">
        <f t="shared" si="351"/>
        <v>0</v>
      </c>
      <c r="AE111" s="76">
        <f t="shared" si="351"/>
        <v>400</v>
      </c>
      <c r="AF111" s="304">
        <f t="shared" si="351"/>
        <v>0</v>
      </c>
      <c r="AG111" s="76">
        <f t="shared" si="351"/>
        <v>0</v>
      </c>
    </row>
    <row r="112" spans="2:33" hidden="1" outlineLevel="1" x14ac:dyDescent="0.35">
      <c r="C112" s="293" t="s">
        <v>95</v>
      </c>
      <c r="D112" s="61">
        <f t="shared" ref="D112:AG112" si="352">SUM(D40:D44)</f>
        <v>-183</v>
      </c>
      <c r="E112" s="61">
        <f t="shared" si="352"/>
        <v>-186.5</v>
      </c>
      <c r="F112" s="61">
        <f t="shared" si="352"/>
        <v>-185.2</v>
      </c>
      <c r="G112" s="80">
        <f t="shared" si="352"/>
        <v>-244</v>
      </c>
      <c r="H112" s="303">
        <f t="shared" si="352"/>
        <v>-226.7</v>
      </c>
      <c r="I112" s="81">
        <f t="shared" si="352"/>
        <v>-252.32</v>
      </c>
      <c r="J112" s="83">
        <f t="shared" si="352"/>
        <v>-261.93280000000004</v>
      </c>
      <c r="K112" s="76">
        <f t="shared" si="352"/>
        <v>-269.43078400000002</v>
      </c>
      <c r="L112" s="76">
        <f t="shared" si="352"/>
        <v>-277.15370752000001</v>
      </c>
      <c r="M112" s="76">
        <f t="shared" si="352"/>
        <v>-282.45678167040006</v>
      </c>
      <c r="N112" s="304">
        <f t="shared" si="352"/>
        <v>-287.86591730380803</v>
      </c>
      <c r="O112" s="81">
        <f t="shared" si="352"/>
        <v>-293.38323564988423</v>
      </c>
      <c r="P112" s="83">
        <f t="shared" si="352"/>
        <v>-297.60398418463245</v>
      </c>
      <c r="Q112" s="76">
        <f t="shared" si="352"/>
        <v>-301.88804394740191</v>
      </c>
      <c r="R112" s="76">
        <f t="shared" si="352"/>
        <v>-306.23636460661288</v>
      </c>
      <c r="S112" s="76">
        <f t="shared" si="352"/>
        <v>-310.64991007571211</v>
      </c>
      <c r="T112" s="76">
        <f t="shared" si="352"/>
        <v>-315.12965872684777</v>
      </c>
      <c r="U112" s="76">
        <f t="shared" si="352"/>
        <v>-319.67660360775039</v>
      </c>
      <c r="V112" s="76">
        <f t="shared" si="352"/>
        <v>-324.29175266186667</v>
      </c>
      <c r="W112" s="76">
        <f t="shared" si="352"/>
        <v>-328.97612895179458</v>
      </c>
      <c r="X112" s="76">
        <f t="shared" si="352"/>
        <v>-333.73077088607153</v>
      </c>
      <c r="Y112" s="76">
        <f t="shared" si="352"/>
        <v>-338.55673244936253</v>
      </c>
      <c r="Z112" s="76">
        <f t="shared" si="352"/>
        <v>-343.455083436103</v>
      </c>
      <c r="AA112" s="76">
        <f t="shared" si="352"/>
        <v>-348.42690968764447</v>
      </c>
      <c r="AB112" s="76">
        <f t="shared" si="352"/>
        <v>-353.47331333295909</v>
      </c>
      <c r="AC112" s="76">
        <f t="shared" si="352"/>
        <v>-358.59541303295345</v>
      </c>
      <c r="AD112" s="76">
        <f t="shared" si="352"/>
        <v>-363.79434422844776</v>
      </c>
      <c r="AE112" s="76">
        <f t="shared" si="352"/>
        <v>-369.07125939187443</v>
      </c>
      <c r="AF112" s="304">
        <f t="shared" si="352"/>
        <v>-374.42732828275246</v>
      </c>
      <c r="AG112" s="76">
        <f t="shared" si="352"/>
        <v>-379.86373820699379</v>
      </c>
    </row>
    <row r="113" spans="3:44" hidden="1" outlineLevel="1" x14ac:dyDescent="0.35">
      <c r="C113" s="293" t="s">
        <v>96</v>
      </c>
      <c r="D113" s="61">
        <f t="shared" ref="D113:AG113" si="353">D80+D54</f>
        <v>0</v>
      </c>
      <c r="E113" s="61">
        <f t="shared" si="353"/>
        <v>0</v>
      </c>
      <c r="F113" s="61">
        <f t="shared" si="353"/>
        <v>-663.8</v>
      </c>
      <c r="G113" s="80">
        <f t="shared" si="353"/>
        <v>-42.9</v>
      </c>
      <c r="H113" s="303">
        <f t="shared" si="353"/>
        <v>-79.98</v>
      </c>
      <c r="I113" s="81">
        <f t="shared" si="353"/>
        <v>-213</v>
      </c>
      <c r="J113" s="83">
        <f t="shared" si="353"/>
        <v>-542.49</v>
      </c>
      <c r="K113" s="76">
        <f t="shared" si="353"/>
        <v>-93.5</v>
      </c>
      <c r="L113" s="76">
        <f t="shared" si="353"/>
        <v>-296.80000000000007</v>
      </c>
      <c r="M113" s="76">
        <f t="shared" si="353"/>
        <v>-131.1</v>
      </c>
      <c r="N113" s="304">
        <f t="shared" si="353"/>
        <v>-133.39999999999998</v>
      </c>
      <c r="O113" s="81">
        <f t="shared" si="353"/>
        <v>-722.625</v>
      </c>
      <c r="P113" s="83">
        <f t="shared" si="353"/>
        <v>-553.34999999999991</v>
      </c>
      <c r="Q113" s="76">
        <f t="shared" si="353"/>
        <v>-138.57500000000002</v>
      </c>
      <c r="R113" s="76">
        <f t="shared" si="353"/>
        <v>-689.3</v>
      </c>
      <c r="S113" s="76">
        <f t="shared" si="353"/>
        <v>-104.97500000000001</v>
      </c>
      <c r="T113" s="76">
        <f t="shared" si="353"/>
        <v>-518.75</v>
      </c>
      <c r="U113" s="76">
        <f t="shared" si="353"/>
        <v>-208.72499999999999</v>
      </c>
      <c r="V113" s="76">
        <f t="shared" si="353"/>
        <v>-800</v>
      </c>
      <c r="W113" s="76">
        <f t="shared" si="353"/>
        <v>-226.62500000000003</v>
      </c>
      <c r="X113" s="76">
        <f t="shared" si="353"/>
        <v>-622.25</v>
      </c>
      <c r="Y113" s="76">
        <f t="shared" si="353"/>
        <v>-218.62500000000003</v>
      </c>
      <c r="Z113" s="76">
        <f t="shared" si="353"/>
        <v>-891.10000000000014</v>
      </c>
      <c r="AA113" s="76">
        <f t="shared" si="353"/>
        <v>-440.37500000000011</v>
      </c>
      <c r="AB113" s="76">
        <f t="shared" si="353"/>
        <v>-75.350000000000009</v>
      </c>
      <c r="AC113" s="76">
        <f t="shared" si="353"/>
        <v>-484.75000000000011</v>
      </c>
      <c r="AD113" s="76">
        <f t="shared" si="353"/>
        <v>-658</v>
      </c>
      <c r="AE113" s="76">
        <f t="shared" si="353"/>
        <v>-1089.5500000000002</v>
      </c>
      <c r="AF113" s="304">
        <f t="shared" si="353"/>
        <v>-629.20000000000005</v>
      </c>
      <c r="AG113" s="76">
        <f t="shared" si="353"/>
        <v>-556.32500000000016</v>
      </c>
    </row>
    <row r="114" spans="3:44" hidden="1" outlineLevel="1" x14ac:dyDescent="0.35">
      <c r="C114" s="293" t="s">
        <v>97</v>
      </c>
      <c r="D114" s="61">
        <f t="shared" ref="D114:AG114" si="354">D79+D53</f>
        <v>0</v>
      </c>
      <c r="E114" s="61">
        <f t="shared" si="354"/>
        <v>0</v>
      </c>
      <c r="F114" s="61">
        <f t="shared" si="354"/>
        <v>-53.738043568611012</v>
      </c>
      <c r="G114" s="80">
        <f t="shared" si="354"/>
        <v>-53.466615076691824</v>
      </c>
      <c r="H114" s="303">
        <f t="shared" si="354"/>
        <v>-53.937270054921292</v>
      </c>
      <c r="I114" s="81">
        <f t="shared" si="354"/>
        <v>-56.520074711139401</v>
      </c>
      <c r="J114" s="83">
        <f t="shared" si="354"/>
        <v>-67.679268575806447</v>
      </c>
      <c r="K114" s="76">
        <f t="shared" si="354"/>
        <v>-60.314944304471581</v>
      </c>
      <c r="L114" s="76">
        <f t="shared" si="354"/>
        <v>-60.314944304471581</v>
      </c>
      <c r="M114" s="76">
        <f t="shared" si="354"/>
        <v>-77.118871203686354</v>
      </c>
      <c r="N114" s="304">
        <f t="shared" si="354"/>
        <v>-77.118871203686354</v>
      </c>
      <c r="O114" s="81">
        <f t="shared" si="354"/>
        <v>-77.118871203686354</v>
      </c>
      <c r="P114" s="83">
        <f t="shared" si="354"/>
        <v>-110.72672500211591</v>
      </c>
      <c r="Q114" s="76">
        <f t="shared" si="354"/>
        <v>-110.72672500211591</v>
      </c>
      <c r="R114" s="76">
        <f t="shared" si="354"/>
        <v>-110.72672500211591</v>
      </c>
      <c r="S114" s="76">
        <f t="shared" si="354"/>
        <v>-136.3855764959057</v>
      </c>
      <c r="T114" s="76">
        <f t="shared" si="354"/>
        <v>-136.3855764959057</v>
      </c>
      <c r="U114" s="76">
        <f t="shared" si="354"/>
        <v>-136.3855764959057</v>
      </c>
      <c r="V114" s="76">
        <f t="shared" si="354"/>
        <v>-136.3855764959057</v>
      </c>
      <c r="W114" s="76">
        <f t="shared" si="354"/>
        <v>-158.83707155297174</v>
      </c>
      <c r="X114" s="76">
        <f t="shared" si="354"/>
        <v>-158.83707155297174</v>
      </c>
      <c r="Y114" s="76">
        <f t="shared" si="354"/>
        <v>-158.83707155297174</v>
      </c>
      <c r="Z114" s="76">
        <f t="shared" si="354"/>
        <v>-158.83707155297174</v>
      </c>
      <c r="AA114" s="76">
        <f t="shared" si="354"/>
        <v>-184.49592304676153</v>
      </c>
      <c r="AB114" s="76">
        <f t="shared" si="354"/>
        <v>-184.49592304676153</v>
      </c>
      <c r="AC114" s="76">
        <f t="shared" si="354"/>
        <v>-179.79082351498141</v>
      </c>
      <c r="AD114" s="76">
        <f t="shared" si="354"/>
        <v>-164.66728930568809</v>
      </c>
      <c r="AE114" s="76">
        <f t="shared" si="354"/>
        <v>-144.50257702663038</v>
      </c>
      <c r="AF114" s="304">
        <f t="shared" si="354"/>
        <v>-160.07907238089126</v>
      </c>
      <c r="AG114" s="76">
        <f t="shared" si="354"/>
        <v>-153.35750162120536</v>
      </c>
    </row>
    <row r="115" spans="3:44" hidden="1" outlineLevel="1" x14ac:dyDescent="0.35">
      <c r="C115" s="293" t="s">
        <v>98</v>
      </c>
      <c r="D115" s="61"/>
      <c r="E115" s="61"/>
      <c r="F115" s="61"/>
      <c r="G115" s="80">
        <f t="shared" ref="G115:L115" si="355">G103-F103</f>
        <v>20</v>
      </c>
      <c r="H115" s="303">
        <f t="shared" si="355"/>
        <v>0</v>
      </c>
      <c r="I115" s="81">
        <f t="shared" si="355"/>
        <v>0</v>
      </c>
      <c r="J115" s="83">
        <f t="shared" si="355"/>
        <v>0</v>
      </c>
      <c r="K115" s="76">
        <f t="shared" si="355"/>
        <v>0</v>
      </c>
      <c r="L115" s="76">
        <f t="shared" si="355"/>
        <v>0</v>
      </c>
      <c r="M115" s="76">
        <f t="shared" ref="M115" si="356">M103-L103</f>
        <v>0</v>
      </c>
      <c r="N115" s="304">
        <f t="shared" ref="N115" si="357">N103-M103</f>
        <v>0</v>
      </c>
      <c r="O115" s="81">
        <f t="shared" ref="O115" si="358">O103-N103</f>
        <v>0</v>
      </c>
      <c r="P115" s="83">
        <f>P103-O103</f>
        <v>0</v>
      </c>
      <c r="Q115" s="76">
        <f t="shared" ref="Q115" si="359">Q103-P103</f>
        <v>0</v>
      </c>
      <c r="R115" s="76">
        <f t="shared" ref="R115" si="360">R103-Q103</f>
        <v>0</v>
      </c>
      <c r="S115" s="76">
        <f t="shared" ref="S115" si="361">S103-R103</f>
        <v>0</v>
      </c>
      <c r="T115" s="76">
        <f t="shared" ref="T115" si="362">T103-S103</f>
        <v>0</v>
      </c>
      <c r="U115" s="76">
        <f t="shared" ref="U115" si="363">U103-T103</f>
        <v>0</v>
      </c>
      <c r="V115" s="76">
        <f t="shared" ref="V115" si="364">V103-U103</f>
        <v>0</v>
      </c>
      <c r="W115" s="76">
        <f t="shared" ref="W115" si="365">W103-V103</f>
        <v>0</v>
      </c>
      <c r="X115" s="76">
        <f t="shared" ref="X115" si="366">X103-W103</f>
        <v>0</v>
      </c>
      <c r="Y115" s="76">
        <f t="shared" ref="Y115" si="367">Y103-X103</f>
        <v>0</v>
      </c>
      <c r="Z115" s="76">
        <f t="shared" ref="Z115" si="368">Z103-Y103</f>
        <v>0</v>
      </c>
      <c r="AA115" s="76">
        <f t="shared" ref="AA115" si="369">AA103-Z103</f>
        <v>0</v>
      </c>
      <c r="AB115" s="76">
        <f t="shared" ref="AB115" si="370">AB103-AA103</f>
        <v>0</v>
      </c>
      <c r="AC115" s="76">
        <f t="shared" ref="AC115" si="371">AC103-AB103</f>
        <v>0</v>
      </c>
      <c r="AD115" s="76">
        <f t="shared" ref="AD115" si="372">AD103-AC103</f>
        <v>0</v>
      </c>
      <c r="AE115" s="76">
        <f t="shared" ref="AE115" si="373">AE103-AD103</f>
        <v>0</v>
      </c>
      <c r="AF115" s="304">
        <f t="shared" ref="AF115" si="374">AF103-AE103</f>
        <v>0</v>
      </c>
      <c r="AG115" s="76">
        <f t="shared" ref="AG115" si="375">AG103-AF103</f>
        <v>0</v>
      </c>
    </row>
    <row r="116" spans="3:44" collapsed="1" x14ac:dyDescent="0.35">
      <c r="C116" s="299" t="s">
        <v>114</v>
      </c>
      <c r="D116" s="300"/>
      <c r="E116" s="300"/>
      <c r="F116" s="300">
        <f>SUM(F105:F114)</f>
        <v>238.40795643138895</v>
      </c>
      <c r="G116" s="301">
        <f t="shared" ref="G116:L116" si="376">SUM(G105:G115)</f>
        <v>275.33975649976969</v>
      </c>
      <c r="H116" s="334">
        <f t="shared" si="376"/>
        <v>306.25343550271077</v>
      </c>
      <c r="I116" s="302">
        <f t="shared" si="376"/>
        <v>368.03256914699591</v>
      </c>
      <c r="J116" s="379">
        <f t="shared" si="376"/>
        <v>390.32352183306716</v>
      </c>
      <c r="K116" s="302">
        <f t="shared" si="376"/>
        <v>478.43536663973049</v>
      </c>
      <c r="L116" s="302">
        <f t="shared" si="376"/>
        <v>661.88053217261279</v>
      </c>
      <c r="M116" s="302">
        <f t="shared" ref="M116:AG116" si="377">SUM(M105:M115)</f>
        <v>760.59519954143343</v>
      </c>
      <c r="N116" s="334">
        <f t="shared" si="377"/>
        <v>913.39864173207366</v>
      </c>
      <c r="O116" s="302">
        <f>SUM(O105:O115)</f>
        <v>1002.5421558281924</v>
      </c>
      <c r="P116" s="379">
        <f t="shared" si="377"/>
        <v>764.31225818643111</v>
      </c>
      <c r="Q116" s="302">
        <f t="shared" si="377"/>
        <v>960.58149137719761</v>
      </c>
      <c r="R116" s="302">
        <f t="shared" si="377"/>
        <v>1027.408371291104</v>
      </c>
      <c r="S116" s="302">
        <f t="shared" si="377"/>
        <v>1275.7415984115255</v>
      </c>
      <c r="T116" s="302">
        <f t="shared" si="377"/>
        <v>1135.8303151249336</v>
      </c>
      <c r="U116" s="302">
        <f t="shared" si="377"/>
        <v>1319.403229903912</v>
      </c>
      <c r="V116" s="302">
        <f t="shared" si="377"/>
        <v>1287.0962338728959</v>
      </c>
      <c r="W116" s="302">
        <f t="shared" si="377"/>
        <v>1481.038604739008</v>
      </c>
      <c r="X116" s="302">
        <f t="shared" si="377"/>
        <v>1303.4778546273005</v>
      </c>
      <c r="Y116" s="302">
        <f t="shared" si="377"/>
        <v>1542.722285898775</v>
      </c>
      <c r="Z116" s="302">
        <f t="shared" si="377"/>
        <v>1534.6036044276314</v>
      </c>
      <c r="AA116" s="302">
        <f t="shared" si="377"/>
        <v>1576.5894834552782</v>
      </c>
      <c r="AB116" s="302">
        <f t="shared" si="377"/>
        <v>1999.8056553581901</v>
      </c>
      <c r="AC116" s="302">
        <f t="shared" si="377"/>
        <v>2043.2150653370102</v>
      </c>
      <c r="AD116" s="302">
        <f t="shared" si="377"/>
        <v>1948.9300457119803</v>
      </c>
      <c r="AE116" s="302">
        <f t="shared" si="377"/>
        <v>1867.9930614467028</v>
      </c>
      <c r="AF116" s="334">
        <f t="shared" si="377"/>
        <v>1847.7252094568662</v>
      </c>
      <c r="AG116" s="300">
        <f t="shared" si="377"/>
        <v>1931.6277565465962</v>
      </c>
    </row>
    <row r="117" spans="3:44" hidden="1" outlineLevel="1" x14ac:dyDescent="0.35">
      <c r="C117" s="121" t="s">
        <v>99</v>
      </c>
      <c r="D117" s="122"/>
      <c r="E117" s="122"/>
      <c r="F117" s="122">
        <f t="shared" ref="F117:AG117" si="378">F103+F102+F47</f>
        <v>238.40795643138904</v>
      </c>
      <c r="G117" s="122">
        <f t="shared" si="378"/>
        <v>275.33975649976975</v>
      </c>
      <c r="H117" s="123">
        <f t="shared" si="378"/>
        <v>306.25343550271072</v>
      </c>
      <c r="I117" s="385">
        <f t="shared" si="378"/>
        <v>368.03256914699591</v>
      </c>
      <c r="J117" s="123">
        <f t="shared" si="378"/>
        <v>390.32352183306733</v>
      </c>
      <c r="K117" s="123">
        <f t="shared" si="378"/>
        <v>478.43536663973043</v>
      </c>
      <c r="L117" s="123">
        <f t="shared" si="378"/>
        <v>661.88053217261267</v>
      </c>
      <c r="M117" s="123">
        <f t="shared" si="378"/>
        <v>760.59519954143309</v>
      </c>
      <c r="N117" s="123">
        <f t="shared" si="378"/>
        <v>913.39864173207297</v>
      </c>
      <c r="O117" s="385">
        <f t="shared" si="378"/>
        <v>1002.5421558281918</v>
      </c>
      <c r="P117" s="123">
        <f t="shared" si="378"/>
        <v>764.31225818643031</v>
      </c>
      <c r="Q117" s="123">
        <f t="shared" si="378"/>
        <v>960.58149137719727</v>
      </c>
      <c r="R117" s="123">
        <f t="shared" si="378"/>
        <v>1027.408371291104</v>
      </c>
      <c r="S117" s="123">
        <f t="shared" si="378"/>
        <v>1275.7415984115257</v>
      </c>
      <c r="T117" s="123">
        <f t="shared" si="378"/>
        <v>1135.8303151249338</v>
      </c>
      <c r="U117" s="123">
        <f t="shared" si="378"/>
        <v>1319.4032299039122</v>
      </c>
      <c r="V117" s="123">
        <f t="shared" si="378"/>
        <v>1287.0962338728966</v>
      </c>
      <c r="W117" s="123">
        <f t="shared" si="378"/>
        <v>1481.0386047390089</v>
      </c>
      <c r="X117" s="123">
        <f t="shared" si="378"/>
        <v>1303.4778546273014</v>
      </c>
      <c r="Y117" s="123">
        <f t="shared" si="378"/>
        <v>1542.7222858987764</v>
      </c>
      <c r="Z117" s="123">
        <f t="shared" si="378"/>
        <v>1534.6036044276329</v>
      </c>
      <c r="AA117" s="123">
        <f t="shared" si="378"/>
        <v>1576.5894834552801</v>
      </c>
      <c r="AB117" s="123">
        <f t="shared" si="378"/>
        <v>1999.8056553581919</v>
      </c>
      <c r="AC117" s="123">
        <f t="shared" si="378"/>
        <v>2043.2150653370115</v>
      </c>
      <c r="AD117" s="123">
        <f t="shared" si="378"/>
        <v>1948.9300457119814</v>
      </c>
      <c r="AE117" s="123">
        <f t="shared" si="378"/>
        <v>1867.9930614467039</v>
      </c>
      <c r="AF117" s="123">
        <f t="shared" si="378"/>
        <v>1847.7252094568671</v>
      </c>
      <c r="AG117" s="422">
        <f t="shared" si="378"/>
        <v>1931.6277565465969</v>
      </c>
    </row>
    <row r="118" spans="3:44" ht="15" collapsed="1" thickBot="1" x14ac:dyDescent="0.4">
      <c r="D118" s="124"/>
      <c r="E118" s="124"/>
      <c r="F118" s="124"/>
      <c r="G118" s="124"/>
      <c r="H118" s="124"/>
      <c r="I118" s="386"/>
      <c r="J118" s="124"/>
      <c r="K118" s="124"/>
      <c r="L118" s="124"/>
      <c r="M118" s="124"/>
      <c r="N118" s="124"/>
      <c r="O118" s="386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423"/>
    </row>
    <row r="119" spans="3:44" ht="15" hidden="1" outlineLevel="1" thickBot="1" x14ac:dyDescent="0.4">
      <c r="C119" s="125" t="s">
        <v>100</v>
      </c>
      <c r="D119"/>
      <c r="E119"/>
      <c r="I119" s="14"/>
      <c r="O119" s="14"/>
      <c r="AG119" s="187"/>
    </row>
    <row r="120" spans="3:44" s="29" customFormat="1" ht="15" hidden="1" outlineLevel="1" thickBot="1" x14ac:dyDescent="0.4">
      <c r="C120" s="126" t="s">
        <v>101</v>
      </c>
      <c r="D120" s="127"/>
      <c r="E120" s="127"/>
      <c r="F120" s="127">
        <f>150+27</f>
        <v>177</v>
      </c>
      <c r="G120" s="127">
        <f>F120-(F120/5)</f>
        <v>141.6</v>
      </c>
      <c r="H120" s="127">
        <f>G120-(G120/4)</f>
        <v>106.19999999999999</v>
      </c>
      <c r="I120" s="127">
        <f>H120-(H120/3)</f>
        <v>70.799999999999983</v>
      </c>
      <c r="J120" s="127">
        <f>I120-(I120/2)</f>
        <v>35.399999999999991</v>
      </c>
      <c r="K120" s="127">
        <f>J120-(J120/1)</f>
        <v>0</v>
      </c>
      <c r="L120" s="127"/>
      <c r="M120" s="127"/>
      <c r="N120" s="127"/>
      <c r="O120" s="28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424"/>
      <c r="AH120" s="129"/>
    </row>
    <row r="121" spans="3:44" s="29" customFormat="1" ht="15" hidden="1" outlineLevel="1" thickBot="1" x14ac:dyDescent="0.4">
      <c r="C121" s="126" t="s">
        <v>102</v>
      </c>
      <c r="D121" s="127"/>
      <c r="E121" s="127"/>
      <c r="F121" s="127">
        <f>F78</f>
        <v>250</v>
      </c>
      <c r="G121" s="127">
        <f>F121+PPMT(0.0525,30,30,$F121)</f>
        <v>234.10524144344666</v>
      </c>
      <c r="H121" s="127">
        <f>G121+PPMT(0.0525,29,30,$F121)</f>
        <v>219.00333307617507</v>
      </c>
      <c r="I121" s="127">
        <f>H121+PPMT(0.0525,28,30,$F121)</f>
        <v>204.65472655145146</v>
      </c>
      <c r="J121" s="127">
        <f>I121+PPMT(0.0525,27,30,$F121)</f>
        <v>191.02184624292548</v>
      </c>
      <c r="K121" s="127">
        <f>J121+PPMT(0.0525,26,30,$F121)</f>
        <v>178.06899084290077</v>
      </c>
      <c r="L121" s="127">
        <f>K121+PPMT(0.0525,25,30,$F121)</f>
        <v>165.76223986900558</v>
      </c>
      <c r="M121" s="127">
        <f>L121+PPMT(0.0525,24,30,$F121)</f>
        <v>154.06936483442584</v>
      </c>
      <c r="N121" s="127">
        <f>M121+PPMT(0.0525,23,30,$F121)</f>
        <v>142.95974484907691</v>
      </c>
      <c r="O121" s="28">
        <f>N121+PPMT(0.0525,22,30,$F121)</f>
        <v>132.40428643069313</v>
      </c>
      <c r="P121" s="127">
        <f>O121+PPMT(0.0525,21,30,$F121)</f>
        <v>122.37534731583918</v>
      </c>
      <c r="Q121" s="127">
        <f>P121+PPMT(0.0525,20,30,$F121)</f>
        <v>112.84666407132235</v>
      </c>
      <c r="R121" s="127">
        <f>Q121+PPMT(0.0525,19,30,$F121)</f>
        <v>103.79328331643701</v>
      </c>
      <c r="S121" s="127">
        <f>R121+PPMT(0.0525,18,30,$F121)</f>
        <v>95.191496375928381</v>
      </c>
      <c r="T121" s="127">
        <f>S121+PPMT(0.0525,17,30,$F121)</f>
        <v>87.018777192547248</v>
      </c>
      <c r="U121" s="127">
        <f>T121+PPMT(0.0525,16,30,$F121)</f>
        <v>79.253723336603187</v>
      </c>
      <c r="V121" s="127">
        <f>U121+PPMT(0.0525,15,30,$F121)</f>
        <v>71.875999958034001</v>
      </c>
      <c r="W121" s="127">
        <f>V121+PPMT(0.0525,14,30,$F121)</f>
        <v>64.866286534215305</v>
      </c>
      <c r="X121" s="127">
        <f>W121+PPMT(0.0525,13,30,$F121)</f>
        <v>58.20622627405502</v>
      </c>
      <c r="Y121" s="127">
        <f>X121+PPMT(0.0525,12,30,$F121)</f>
        <v>51.878378045874229</v>
      </c>
      <c r="Z121" s="127">
        <f>Y121+PPMT(0.0525,11,30,$F121)</f>
        <v>45.866170703184636</v>
      </c>
      <c r="AA121" s="127">
        <f>Z121+PPMT(0.0525,10,30,$F121)</f>
        <v>40.153859688752718</v>
      </c>
      <c r="AB121" s="127">
        <f>AA121+PPMT(0.0525,9,30,$F121)</f>
        <v>34.726485803306716</v>
      </c>
      <c r="AC121" s="127">
        <f>AB121+PPMT(0.0525,8,30,$F121)</f>
        <v>29.569836030911464</v>
      </c>
      <c r="AD121" s="127">
        <f>AC121+PPMT(0.0525,7,30,$F121)</f>
        <v>24.670406318421914</v>
      </c>
      <c r="AE121" s="127">
        <f>AD121+PPMT(0.0525,6,30,$F121)</f>
        <v>20.015366211543483</v>
      </c>
      <c r="AF121" s="127">
        <f>AE121+PPMT(0.0525,5,30,$F121)</f>
        <v>15.592525254889392</v>
      </c>
      <c r="AG121" s="424">
        <f>AF121+PPMT(0.0525,4,30,$F121)</f>
        <v>11.39030106804465</v>
      </c>
      <c r="AH121" s="129"/>
    </row>
    <row r="122" spans="3:44" s="29" customFormat="1" ht="15" hidden="1" outlineLevel="1" thickBot="1" x14ac:dyDescent="0.4">
      <c r="C122" s="126" t="s">
        <v>103</v>
      </c>
      <c r="D122" s="127"/>
      <c r="E122" s="127"/>
      <c r="F122" s="127"/>
      <c r="G122" s="127">
        <v>30</v>
      </c>
      <c r="H122" s="127">
        <f>G122+0.5*PPMT(0.0275,30,30,G122)</f>
        <v>29.279059562006221</v>
      </c>
      <c r="I122" s="127">
        <f>H122+PPMT(0.0275,29,30,G122)</f>
        <v>27.87576917175069</v>
      </c>
      <c r="J122" s="127">
        <f>I122+PPMT(0.0275,28,30,G122)</f>
        <v>26.510036431842632</v>
      </c>
      <c r="K122" s="127">
        <f>J122+PPMT(0.0275,27,30,G122)</f>
        <v>25.180856149693668</v>
      </c>
      <c r="L122" s="127">
        <f>K122+PPMT(0.0275,26,30,G122)</f>
        <v>23.887250035680079</v>
      </c>
      <c r="M122" s="127">
        <f>L122+PPMT(0.0275,25,30,G122)</f>
        <v>22.628265983112108</v>
      </c>
      <c r="N122" s="127">
        <f>M122+PPMT(0.0275,24,30,G122)</f>
        <v>21.402977367474183</v>
      </c>
      <c r="O122" s="28">
        <f>N122+PPMT(0.0275,23,30,G122)</f>
        <v>20.210482364420237</v>
      </c>
      <c r="P122" s="127">
        <f>O122+PPMT(0.0275,22,30,G122)</f>
        <v>19.049903286022239</v>
      </c>
      <c r="Q122" s="127">
        <f>P122+PPMT(0.0275,21,30,G122)</f>
        <v>17.920385934783312</v>
      </c>
      <c r="R122" s="127">
        <f>Q122+PPMT(0.0275,20,30,G122)</f>
        <v>16.821098974940071</v>
      </c>
      <c r="S122" s="127">
        <f>R122+PPMT(0.0275,19,30,G122)</f>
        <v>15.751233320591419</v>
      </c>
      <c r="T122" s="127">
        <f>S122+PPMT(0.0275,18,30,G122)</f>
        <v>14.710001540203438</v>
      </c>
      <c r="U122" s="127">
        <f>T122+PPMT(0.0275,17,30,G122)</f>
        <v>13.696637277052117</v>
      </c>
      <c r="V122" s="127">
        <f>U122+PPMT(0.0275,16,30,G122)</f>
        <v>12.710394685177352</v>
      </c>
      <c r="W122" s="127">
        <f>V122+PPMT(0.0275,15,30,G122)</f>
        <v>11.750547880433055</v>
      </c>
      <c r="X122" s="127">
        <f>W122+PPMT(0.0275,14,30,G122)</f>
        <v>10.816390406229361</v>
      </c>
      <c r="Y122" s="127">
        <f>X122+PPMT(0.0275,13,30,G122)</f>
        <v>9.9072347135736969</v>
      </c>
      <c r="Z122" s="127">
        <f>Y122+PPMT(0.0275,12,30,G122)</f>
        <v>9.0224116550280389</v>
      </c>
      <c r="AA122" s="127">
        <f>Z122+PPMT(0.0275,11,30,G122)</f>
        <v>8.1612699922098795</v>
      </c>
      <c r="AB122" s="127">
        <f>AA122+PPMT(0.0275,10,30,G122)</f>
        <v>7.3231759164744448</v>
      </c>
      <c r="AC122" s="127">
        <f>AB122+PPMT(0.0275,9,30,G122)</f>
        <v>6.5075125824253606</v>
      </c>
      <c r="AD122" s="127">
        <f>AC122+PPMT(0.0275,8,30,G122)</f>
        <v>5.713679653910436</v>
      </c>
      <c r="AE122" s="127">
        <f>AD122+PPMT(0.0275,7,30,G122)</f>
        <v>4.9410928621684178</v>
      </c>
      <c r="AF122" s="127">
        <f>AE122+PPMT(0.0275,6,30,G122)</f>
        <v>4.1891835758014899</v>
      </c>
      <c r="AG122" s="424">
        <f>AF122+PPMT(0.0275,5,30,G122)</f>
        <v>3.4573983822570344</v>
      </c>
      <c r="AH122" s="127"/>
    </row>
    <row r="123" spans="3:44" s="29" customFormat="1" ht="15" hidden="1" outlineLevel="1" thickBot="1" x14ac:dyDescent="0.4">
      <c r="C123" s="126" t="s">
        <v>254</v>
      </c>
      <c r="D123" s="127"/>
      <c r="E123" s="127"/>
      <c r="F123" s="127"/>
      <c r="G123" s="127"/>
      <c r="H123" s="128">
        <f>H$78+H$52</f>
        <v>30</v>
      </c>
      <c r="I123" s="127">
        <f>H123+PPMT(H$21,20,20,H123)</f>
        <v>27.960548499042719</v>
      </c>
      <c r="J123" s="127">
        <f>I123+PPMT(H$21,19,20,H123)</f>
        <v>25.990063957055007</v>
      </c>
      <c r="K123" s="127">
        <f>J123+PPMT(H$21,18,20,H123)</f>
        <v>24.086214158033062</v>
      </c>
      <c r="L123" s="127">
        <f>K123+PPMT(H$21,17,20,H123)</f>
        <v>22.246745753180942</v>
      </c>
      <c r="M123" s="127">
        <f>L123+PPMT(H$21,16,20,H123)</f>
        <v>20.469481593903531</v>
      </c>
      <c r="N123" s="127">
        <f>M123+PPMT(H$21,15,20,H123)</f>
        <v>18.75231815498816</v>
      </c>
      <c r="O123" s="28">
        <f>N123+PPMT(H$21,14,20,H123)</f>
        <v>17.093223044924997</v>
      </c>
      <c r="P123" s="127">
        <f>O123+PPMT(H$21,13,20,H123)</f>
        <v>15.490232600419528</v>
      </c>
      <c r="Q123" s="127">
        <f>P123+PPMT(H$21,12,20,H123)</f>
        <v>13.941449562249993</v>
      </c>
      <c r="R123" s="127">
        <f>Q123+PPMT(H$21,11,20,H123)</f>
        <v>12.445040829719041</v>
      </c>
      <c r="S123" s="127">
        <f>R123+PPMT(H$21,10,20,H123)</f>
        <v>10.999235291041792</v>
      </c>
      <c r="T123" s="127">
        <f>S123+PPMT(H$21,9,20,H123)</f>
        <v>9.6023217271024208</v>
      </c>
      <c r="U123" s="127">
        <f>T123+PPMT(H$21,8,20,H123)</f>
        <v>8.2526467860981985</v>
      </c>
      <c r="V123" s="127">
        <f>U123+PPMT(H$21,7,20,H123)</f>
        <v>6.9486130266738284</v>
      </c>
      <c r="W123" s="127">
        <f>V123+PPMT(H$21,6,20,H123)</f>
        <v>5.6886770272299927</v>
      </c>
      <c r="X123" s="127">
        <f>W123+PPMT(H$21,5,20,H123)</f>
        <v>4.4713475591683149</v>
      </c>
      <c r="Y123" s="127">
        <f>X123+PPMT(H$21,4,20,H123)</f>
        <v>3.2951838219106557</v>
      </c>
      <c r="Z123" s="127">
        <f>Y123+PPMT(H$21,3,20,H123)</f>
        <v>2.1587937376037383</v>
      </c>
      <c r="AA123" s="127">
        <f>Z123+PPMT(H$21,2,20,H123)</f>
        <v>1.0608323034907752</v>
      </c>
      <c r="AB123" s="127">
        <f>AA123+PPMT(H$21,1,20,H123)</f>
        <v>-1.0658141036401503E-14</v>
      </c>
      <c r="AC123" s="127"/>
      <c r="AD123" s="127"/>
      <c r="AE123" s="127"/>
      <c r="AF123" s="127"/>
      <c r="AG123" s="424"/>
      <c r="AH123" s="127"/>
    </row>
    <row r="124" spans="3:44" s="29" customFormat="1" ht="15" hidden="1" outlineLevel="1" thickBot="1" x14ac:dyDescent="0.4">
      <c r="C124" s="126" t="s">
        <v>255</v>
      </c>
      <c r="D124" s="127"/>
      <c r="E124" s="127"/>
      <c r="F124" s="127"/>
      <c r="G124" s="127"/>
      <c r="H124" s="127"/>
      <c r="I124" s="128">
        <f>I$78+I$52</f>
        <v>170</v>
      </c>
      <c r="J124" s="127">
        <f>I124+PPMT(I$21,20,20,I124)</f>
        <v>158.9061453480912</v>
      </c>
      <c r="K124" s="127">
        <f>J124+PPMT(I$21,19,20,I124)</f>
        <v>148.13541267633511</v>
      </c>
      <c r="L124" s="127">
        <f>K124+PPMT(I$21,18,20,I124)</f>
        <v>137.67839066492141</v>
      </c>
      <c r="M124" s="127">
        <f>L124+PPMT(I$21,17,20,I124)</f>
        <v>127.52594211015084</v>
      </c>
      <c r="N124" s="127">
        <f>M124+PPMT(I$21,16,20,I124)</f>
        <v>117.66919594047067</v>
      </c>
      <c r="O124" s="28">
        <f>N124+PPMT(I$21,15,20,I124)</f>
        <v>108.09953946505303</v>
      </c>
      <c r="P124" s="127">
        <f>O124+PPMT(I$21,14,20,I124)</f>
        <v>98.808610848142692</v>
      </c>
      <c r="Q124" s="127">
        <f>P124+PPMT(I$21,13,20,I124)</f>
        <v>89.788291802598678</v>
      </c>
      <c r="R124" s="127">
        <f>Q124+PPMT(I$21,12,20,I124)</f>
        <v>81.030700496245274</v>
      </c>
      <c r="S124" s="127">
        <f>R124+PPMT(I$21,11,20,I124)</f>
        <v>72.5281846648342</v>
      </c>
      <c r="T124" s="127">
        <f>S124+PPMT(I$21,10,20,I124)</f>
        <v>64.273314925600147</v>
      </c>
      <c r="U124" s="127">
        <f>T124+PPMT(I$21,9,20,I124)</f>
        <v>56.258878285567086</v>
      </c>
      <c r="V124" s="127">
        <f>U124+PPMT(I$21,8,20,I124)</f>
        <v>48.477871838933041</v>
      </c>
      <c r="W124" s="127">
        <f>V124+PPMT(I$21,7,20,I124)</f>
        <v>40.923496648026202</v>
      </c>
      <c r="X124" s="127">
        <f>W124+PPMT(I$21,6,20,I124)</f>
        <v>33.589151802485581</v>
      </c>
      <c r="Y124" s="127">
        <f>X124+PPMT(I$21,5,20,I124)</f>
        <v>26.468428651475271</v>
      </c>
      <c r="Z124" s="127">
        <f>Y124+PPMT(I$21,4,20,I124)</f>
        <v>19.555105203892445</v>
      </c>
      <c r="AA124" s="127">
        <f>Z124+PPMT(I$21,3,20,I124)</f>
        <v>12.843140691676112</v>
      </c>
      <c r="AB124" s="127">
        <f>AA124+PPMT(I$21,2,20,I124)</f>
        <v>6.326670291466078</v>
      </c>
      <c r="AC124" s="127">
        <f>AB124+PPMT(I$21,1,20,I124)</f>
        <v>2.5757174171303632E-14</v>
      </c>
      <c r="AD124" s="127"/>
      <c r="AE124" s="127"/>
      <c r="AF124" s="127"/>
      <c r="AG124" s="424"/>
      <c r="AH124" s="127"/>
    </row>
    <row r="125" spans="3:44" s="29" customFormat="1" ht="15" hidden="1" outlineLevel="1" thickBot="1" x14ac:dyDescent="0.4">
      <c r="C125" s="126" t="s">
        <v>256</v>
      </c>
      <c r="D125" s="127"/>
      <c r="E125" s="127"/>
      <c r="F125" s="127"/>
      <c r="G125" s="127"/>
      <c r="H125" s="127"/>
      <c r="I125" s="28"/>
      <c r="J125" s="128">
        <f>J$78+J$52</f>
        <v>425</v>
      </c>
      <c r="K125" s="127">
        <f>J125+PPMT(J$21,20,20,J125)</f>
        <v>397.26536337022804</v>
      </c>
      <c r="L125" s="127">
        <f>K125+PPMT(J$21,19,20,J125)</f>
        <v>370.33853169083778</v>
      </c>
      <c r="M125" s="127">
        <f>L125+PPMT(J$21,18,20,J125)</f>
        <v>344.19597666230356</v>
      </c>
      <c r="N125" s="127">
        <f>M125+PPMT(J$21,17,20,J125)</f>
        <v>318.81485527537711</v>
      </c>
      <c r="O125" s="28">
        <f>N125+PPMT(J$21,16,20,J125)</f>
        <v>294.17298985117668</v>
      </c>
      <c r="P125" s="127">
        <f>O125+PPMT(J$21,15,20,J125)</f>
        <v>270.24884866263255</v>
      </c>
      <c r="Q125" s="127">
        <f>P125+PPMT(J$21,14,20,J125)</f>
        <v>247.02152712035672</v>
      </c>
      <c r="R125" s="127">
        <f>Q125+PPMT(J$21,13,20,J125)</f>
        <v>224.4707295064967</v>
      </c>
      <c r="S125" s="127">
        <f>R125+PPMT(J$21,12,20,J125)</f>
        <v>202.57675124061316</v>
      </c>
      <c r="T125" s="127">
        <f>S125+PPMT(J$21,11,20,J125)</f>
        <v>181.32046166208548</v>
      </c>
      <c r="U125" s="127">
        <f>T125+PPMT(J$21,10,20,J125)</f>
        <v>160.68328731400035</v>
      </c>
      <c r="V125" s="127">
        <f>U125+PPMT(J$21,9,20,J125)</f>
        <v>140.64719571391771</v>
      </c>
      <c r="W125" s="127">
        <f>V125+PPMT(J$21,8,20,J125)</f>
        <v>121.19467959733261</v>
      </c>
      <c r="X125" s="127">
        <f>W125+PPMT(J$21,7,20,J125)</f>
        <v>102.30874162006552</v>
      </c>
      <c r="Y125" s="127">
        <f>X125+PPMT(J$21,6,20,J125)</f>
        <v>83.972879506213971</v>
      </c>
      <c r="Z125" s="127">
        <f>Y125+PPMT(J$21,5,20,J125)</f>
        <v>66.171071628688196</v>
      </c>
      <c r="AA125" s="127">
        <f>Z125+PPMT(J$21,4,20,J125)</f>
        <v>48.887763009731131</v>
      </c>
      <c r="AB125" s="127">
        <f>AA125+PPMT(J$21,3,20,J125)</f>
        <v>32.107851729190294</v>
      </c>
      <c r="AC125" s="127">
        <f>AB125+PPMT(J$21,2,20,J125)</f>
        <v>15.81667572866521</v>
      </c>
      <c r="AD125" s="127">
        <f>AC125+PPMT(J$21,1,20,J125)</f>
        <v>7.9936057773011271E-14</v>
      </c>
      <c r="AE125" s="127"/>
      <c r="AF125" s="127"/>
      <c r="AG125" s="424"/>
      <c r="AH125" s="127"/>
    </row>
    <row r="126" spans="3:44" s="29" customFormat="1" ht="15" hidden="1" outlineLevel="1" thickBot="1" x14ac:dyDescent="0.4">
      <c r="C126" s="126" t="s">
        <v>257</v>
      </c>
      <c r="D126" s="127"/>
      <c r="E126" s="127"/>
      <c r="F126" s="127"/>
      <c r="G126" s="127"/>
      <c r="H126" s="127"/>
      <c r="I126" s="28"/>
      <c r="J126" s="127"/>
      <c r="K126" s="128">
        <f>K$78+K$52</f>
        <v>0</v>
      </c>
      <c r="L126" s="127">
        <f>K126+PPMT(K$21,20,20,K126)</f>
        <v>0</v>
      </c>
      <c r="M126" s="127">
        <f>L126+PPMT(K$21,19,20,K126)</f>
        <v>0</v>
      </c>
      <c r="N126" s="127">
        <f>M126+PPMT(K$21,18,20,K126)</f>
        <v>0</v>
      </c>
      <c r="O126" s="28">
        <f>N126+PPMT(K$21,17,20,K126)</f>
        <v>0</v>
      </c>
      <c r="P126" s="127">
        <f>O126+PPMT(K$21,16,20,K126)</f>
        <v>0</v>
      </c>
      <c r="Q126" s="127">
        <f>P126+PPMT(K$21,15,20,K126)</f>
        <v>0</v>
      </c>
      <c r="R126" s="127">
        <f>Q126+PPMT(K$21,14,20,K126)</f>
        <v>0</v>
      </c>
      <c r="S126" s="127">
        <f>R126+PPMT(K$21,13,20,K126)</f>
        <v>0</v>
      </c>
      <c r="T126" s="127">
        <f>S126+PPMT(K$21,12,20,K126)</f>
        <v>0</v>
      </c>
      <c r="U126" s="127">
        <f>T126+PPMT(K$21,11,20,K126)</f>
        <v>0</v>
      </c>
      <c r="V126" s="127">
        <f>U126+PPMT(K$21,10,20,K126)</f>
        <v>0</v>
      </c>
      <c r="W126" s="127">
        <f>V126+PPMT(K$21,9,20,K126)</f>
        <v>0</v>
      </c>
      <c r="X126" s="127">
        <f>W126+PPMT(K$21,8,20,K126)</f>
        <v>0</v>
      </c>
      <c r="Y126" s="127">
        <f>X126+PPMT(K$21,7,20,K126)</f>
        <v>0</v>
      </c>
      <c r="Z126" s="127">
        <f>Y126+PPMT(K$21,6,20,K126)</f>
        <v>0</v>
      </c>
      <c r="AA126" s="127">
        <f>Z126+PPMT(K$21,5,20,K126)</f>
        <v>0</v>
      </c>
      <c r="AB126" s="127">
        <f>AA126+PPMT(K$21,4,20,K126)</f>
        <v>0</v>
      </c>
      <c r="AC126" s="127">
        <f>AB126+PPMT(K$21,3,20,K126)</f>
        <v>0</v>
      </c>
      <c r="AD126" s="127">
        <f>AC126+PPMT(K$21,2,20,K126)</f>
        <v>0</v>
      </c>
      <c r="AE126" s="127">
        <f>AD126+PPMT(K$21,1,20,K126)</f>
        <v>0</v>
      </c>
      <c r="AF126" s="127"/>
      <c r="AG126" s="424"/>
      <c r="AH126" s="127"/>
    </row>
    <row r="127" spans="3:44" s="29" customFormat="1" ht="15" hidden="1" outlineLevel="1" thickBot="1" x14ac:dyDescent="0.4">
      <c r="C127" s="126" t="s">
        <v>258</v>
      </c>
      <c r="D127" s="127"/>
      <c r="E127" s="127"/>
      <c r="F127" s="127"/>
      <c r="G127" s="127"/>
      <c r="H127" s="127"/>
      <c r="I127" s="28"/>
      <c r="J127" s="127"/>
      <c r="K127" s="127"/>
      <c r="L127" s="128">
        <f>L$78+L$52</f>
        <v>250</v>
      </c>
      <c r="M127" s="127">
        <f>L127+PPMT(L$21,20,20,L127)</f>
        <v>233.68550786484002</v>
      </c>
      <c r="N127" s="127">
        <f>M127+PPMT(L$21,19,20,L127)</f>
        <v>217.8461951122575</v>
      </c>
      <c r="O127" s="28">
        <f>N127+PPMT(L$21,18,20,L127)</f>
        <v>202.46822156606089</v>
      </c>
      <c r="P127" s="127">
        <f>O127+PPMT(L$21,17,20,L127)</f>
        <v>187.53815016198652</v>
      </c>
      <c r="Q127" s="127">
        <f>P127+PPMT(L$21,16,20,L127)</f>
        <v>173.0429352065745</v>
      </c>
      <c r="R127" s="127">
        <f>Q127+PPMT(L$21,15,20,L127)</f>
        <v>158.96991097801913</v>
      </c>
      <c r="S127" s="127">
        <f>R127+PPMT(L$21,14,20,L127)</f>
        <v>145.30678065903334</v>
      </c>
      <c r="T127" s="127">
        <f>S127+PPMT(L$21,13,20,L127)</f>
        <v>132.04160559205684</v>
      </c>
      <c r="U127" s="127">
        <f>T127+PPMT(L$21,12,20,L127)</f>
        <v>119.16279484741948</v>
      </c>
      <c r="V127" s="127">
        <f>U127+PPMT(L$21,11,20,L127)</f>
        <v>106.65909509534436</v>
      </c>
      <c r="W127" s="127">
        <f>V127+PPMT(L$21,10,20,L127)</f>
        <v>94.519580772941339</v>
      </c>
      <c r="X127" s="127">
        <f>W127+PPMT(L$21,9,20,L127)</f>
        <v>82.733644537598593</v>
      </c>
      <c r="Y127" s="127">
        <f>X127+PPMT(L$21,8,20,L127)</f>
        <v>71.290987998430879</v>
      </c>
      <c r="Z127" s="127">
        <f>Y127+PPMT(L$21,7,20,L127)</f>
        <v>60.181612717685532</v>
      </c>
      <c r="AA127" s="127">
        <f>Z127+PPMT(L$21,6,20,L127)</f>
        <v>49.395811474243445</v>
      </c>
      <c r="AB127" s="127">
        <f>AA127+PPMT(L$21,5,20,L127)</f>
        <v>38.924159781581224</v>
      </c>
      <c r="AC127" s="127">
        <f>AB127+PPMT(L$21,4,20,L127)</f>
        <v>28.757507652782952</v>
      </c>
      <c r="AD127" s="127">
        <f>AC127+PPMT(L$21,3,20,L127)</f>
        <v>18.886971605405989</v>
      </c>
      <c r="AE127" s="127">
        <f>AD127+PPMT(L$21,2,20,L127)</f>
        <v>9.3039268992147619</v>
      </c>
      <c r="AF127" s="127">
        <f>AE127+PPMT(L$21,1,20,L127)</f>
        <v>-2.3092638912203256E-14</v>
      </c>
      <c r="AG127" s="424"/>
      <c r="AH127" s="127"/>
    </row>
    <row r="128" spans="3:44" s="29" customFormat="1" ht="15" hidden="1" outlineLevel="1" thickBot="1" x14ac:dyDescent="0.4">
      <c r="C128" s="126" t="s">
        <v>259</v>
      </c>
      <c r="D128" s="127"/>
      <c r="E128" s="127"/>
      <c r="F128" s="127"/>
      <c r="G128" s="127"/>
      <c r="H128" s="127"/>
      <c r="I128" s="28"/>
      <c r="J128" s="127"/>
      <c r="K128" s="127"/>
      <c r="L128" s="127"/>
      <c r="M128" s="128">
        <f>M$78+M$52</f>
        <v>0</v>
      </c>
      <c r="N128" s="127">
        <f>M128+PPMT(M$21,20,20,M128)</f>
        <v>0</v>
      </c>
      <c r="O128" s="28">
        <f>N128+PPMT(M$21,19,20,M128)</f>
        <v>0</v>
      </c>
      <c r="P128" s="127">
        <f>O128+PPMT(M$21,18,20,M128)</f>
        <v>0</v>
      </c>
      <c r="Q128" s="127">
        <f>P128+PPMT(M$21,17,20,M128)</f>
        <v>0</v>
      </c>
      <c r="R128" s="127">
        <f>Q128+PPMT(M$21,16,20,M128)</f>
        <v>0</v>
      </c>
      <c r="S128" s="127">
        <f>R128+PPMT(M$21,15,20,M128)</f>
        <v>0</v>
      </c>
      <c r="T128" s="127">
        <f>S128+PPMT(M$21,14,20,M128)</f>
        <v>0</v>
      </c>
      <c r="U128" s="127">
        <f>T128+PPMT(M$21,13,20,M128)</f>
        <v>0</v>
      </c>
      <c r="V128" s="127">
        <f>U128+PPMT(M$21,12,20,M128)</f>
        <v>0</v>
      </c>
      <c r="W128" s="127">
        <f>V128+PPMT(M$21,11,20,M128)</f>
        <v>0</v>
      </c>
      <c r="X128" s="127">
        <f>W128+PPMT(M$21,10,20,M128)</f>
        <v>0</v>
      </c>
      <c r="Y128" s="127">
        <f>X128+PPMT(M$21,9,20,M128)</f>
        <v>0</v>
      </c>
      <c r="Z128" s="127">
        <f>Y128+PPMT(M$21,8,20,M128)</f>
        <v>0</v>
      </c>
      <c r="AA128" s="127">
        <f>Z128+PPMT(M$21,7,20,M128)</f>
        <v>0</v>
      </c>
      <c r="AB128" s="127">
        <f>AA128+PPMT(M$21,6,20,M128)</f>
        <v>0</v>
      </c>
      <c r="AC128" s="127">
        <f>AB128+PPMT(M$21,5,20,M128)</f>
        <v>0</v>
      </c>
      <c r="AD128" s="127">
        <f>AC128+PPMT(M$21,4,20,M128)</f>
        <v>0</v>
      </c>
      <c r="AE128" s="127">
        <f>AD128+PPMT(M$21,3,20,M128)</f>
        <v>0</v>
      </c>
      <c r="AF128" s="127">
        <f>AE128+PPMT(M$21,2,20,M128)</f>
        <v>0</v>
      </c>
      <c r="AG128" s="424">
        <f>AF128+PPMT(M$21,1,20,M128)</f>
        <v>0</v>
      </c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</row>
    <row r="129" spans="3:47" s="29" customFormat="1" ht="15" hidden="1" outlineLevel="1" thickBot="1" x14ac:dyDescent="0.4">
      <c r="C129" s="126" t="s">
        <v>260</v>
      </c>
      <c r="D129" s="127"/>
      <c r="E129" s="127"/>
      <c r="F129" s="127"/>
      <c r="G129" s="127"/>
      <c r="H129" s="127"/>
      <c r="I129" s="28"/>
      <c r="J129" s="127"/>
      <c r="K129" s="127"/>
      <c r="L129" s="127"/>
      <c r="M129" s="127"/>
      <c r="N129" s="128">
        <f>N$78+N$52</f>
        <v>0</v>
      </c>
      <c r="O129" s="28">
        <f>N129+PPMT(N$21,20,20,N129)</f>
        <v>0</v>
      </c>
      <c r="P129" s="127">
        <f>O129+PPMT(N$21,19,20,N129)</f>
        <v>0</v>
      </c>
      <c r="Q129" s="127">
        <f>P129+PPMT(N$21,18,20,N129)</f>
        <v>0</v>
      </c>
      <c r="R129" s="127">
        <f>Q129+PPMT(N$21,17,20,N129)</f>
        <v>0</v>
      </c>
      <c r="S129" s="127">
        <f>R129+PPMT(N$21,16,20,N129)</f>
        <v>0</v>
      </c>
      <c r="T129" s="127">
        <f>S129+PPMT(N$21,15,20,N129)</f>
        <v>0</v>
      </c>
      <c r="U129" s="127">
        <f>T129+PPMT(N$21,14,20,N129)</f>
        <v>0</v>
      </c>
      <c r="V129" s="127">
        <f>U129+PPMT(N$21,13,20,N129)</f>
        <v>0</v>
      </c>
      <c r="W129" s="127">
        <f>V129+PPMT(N$21,12,20,N129)</f>
        <v>0</v>
      </c>
      <c r="X129" s="127">
        <f>W129+PPMT(N$21,11,20,N129)</f>
        <v>0</v>
      </c>
      <c r="Y129" s="127">
        <f>X129+PPMT(N$21,10,20,N129)</f>
        <v>0</v>
      </c>
      <c r="Z129" s="127">
        <f>Y129+PPMT(N$21,9,20,N129)</f>
        <v>0</v>
      </c>
      <c r="AA129" s="127">
        <f>Z129+PPMT(N$21,8,20,N129)</f>
        <v>0</v>
      </c>
      <c r="AB129" s="127">
        <f>AA129+PPMT(N$21,7,20,N129)</f>
        <v>0</v>
      </c>
      <c r="AC129" s="127">
        <f>AB129+PPMT(N$21,6,20,N129)</f>
        <v>0</v>
      </c>
      <c r="AD129" s="127">
        <f>AC129+PPMT(N$21,5,20,N129)</f>
        <v>0</v>
      </c>
      <c r="AE129" s="127">
        <f>AD129+PPMT(N$21,4,20,N129)</f>
        <v>0</v>
      </c>
      <c r="AF129" s="127">
        <f>AE129+PPMT(N$21,3,20,N129)</f>
        <v>0</v>
      </c>
      <c r="AG129" s="424">
        <f>AF129+PPMT(N$21,2,20,N129)</f>
        <v>0</v>
      </c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</row>
    <row r="130" spans="3:47" s="29" customFormat="1" ht="15" hidden="1" outlineLevel="1" thickBot="1" x14ac:dyDescent="0.4">
      <c r="C130" s="126" t="s">
        <v>261</v>
      </c>
      <c r="D130" s="127"/>
      <c r="E130" s="127"/>
      <c r="F130" s="127"/>
      <c r="G130" s="127"/>
      <c r="H130" s="127"/>
      <c r="I130" s="28"/>
      <c r="J130" s="127"/>
      <c r="K130" s="127"/>
      <c r="L130" s="127"/>
      <c r="M130" s="127"/>
      <c r="N130" s="127"/>
      <c r="O130" s="455">
        <f>O$78+O$52</f>
        <v>500</v>
      </c>
      <c r="P130" s="127">
        <f>O130+PPMT(O$21,20,20,O130)</f>
        <v>467.37101572968004</v>
      </c>
      <c r="Q130" s="127">
        <f>P130+PPMT(O$21,19,20,O130)</f>
        <v>435.69239022451501</v>
      </c>
      <c r="R130" s="127">
        <f>Q130+PPMT(O$21,18,20,O130)</f>
        <v>404.93644313212178</v>
      </c>
      <c r="S130" s="127">
        <f>R130+PPMT(O$21,17,20,O130)</f>
        <v>375.07630032397304</v>
      </c>
      <c r="T130" s="127">
        <f>S130+PPMT(O$21,16,20,O130)</f>
        <v>346.085870413149</v>
      </c>
      <c r="U130" s="127">
        <f>T130+PPMT(O$21,15,20,O130)</f>
        <v>317.93982195603826</v>
      </c>
      <c r="V130" s="127">
        <f>U130+PPMT(O$21,14,20,O130)</f>
        <v>290.61356131806667</v>
      </c>
      <c r="W130" s="127">
        <f>V130+PPMT(O$21,13,20,O130)</f>
        <v>264.08321118411368</v>
      </c>
      <c r="X130" s="127">
        <f>W130+PPMT(O$21,12,20,O130)</f>
        <v>238.32558969483895</v>
      </c>
      <c r="Y130" s="127">
        <f>X130+PPMT(O$21,11,20,O130)</f>
        <v>213.31819019068871</v>
      </c>
      <c r="Z130" s="127">
        <f>Y130+PPMT(O$21,10,20,O130)</f>
        <v>189.03916154588268</v>
      </c>
      <c r="AA130" s="127">
        <f>Z130+PPMT(O$21,9,20,O130)</f>
        <v>165.46728907519719</v>
      </c>
      <c r="AB130" s="127">
        <f>AA130+PPMT(O$21,8,20,O130)</f>
        <v>142.58197599686176</v>
      </c>
      <c r="AC130" s="127">
        <f>AB130+PPMT(O$21,7,20,O130)</f>
        <v>120.36322543537106</v>
      </c>
      <c r="AD130" s="127">
        <f>AC130+PPMT(O$21,6,20,O130)</f>
        <v>98.791622948486889</v>
      </c>
      <c r="AE130" s="127">
        <f>AD130+PPMT(O$21,5,20,O130)</f>
        <v>77.848319563162448</v>
      </c>
      <c r="AF130" s="127">
        <f>AE130+PPMT(O$21,4,20,O130)</f>
        <v>57.515015305565903</v>
      </c>
      <c r="AG130" s="424">
        <f>AF130+PPMT(O$21,3,20,O130)</f>
        <v>37.773943210811979</v>
      </c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</row>
    <row r="131" spans="3:47" s="29" customFormat="1" ht="15" hidden="1" outlineLevel="1" thickBot="1" x14ac:dyDescent="0.4">
      <c r="C131" s="126" t="s">
        <v>262</v>
      </c>
      <c r="D131" s="127"/>
      <c r="E131" s="127"/>
      <c r="F131" s="127"/>
      <c r="G131" s="127"/>
      <c r="H131" s="127"/>
      <c r="I131" s="28"/>
      <c r="J131" s="127"/>
      <c r="K131" s="127"/>
      <c r="L131" s="127"/>
      <c r="M131" s="127"/>
      <c r="N131" s="127"/>
      <c r="O131" s="28"/>
      <c r="P131" s="128">
        <f>P$78+P$52</f>
        <v>0</v>
      </c>
      <c r="Q131" s="127">
        <f>P131+PPMT(P$21,20,20,P131)</f>
        <v>0</v>
      </c>
      <c r="R131" s="127">
        <f>Q131+PPMT(P$21,19,20,P131)</f>
        <v>0</v>
      </c>
      <c r="S131" s="127">
        <f>R131+PPMT(P$21,18,20,P131)</f>
        <v>0</v>
      </c>
      <c r="T131" s="127">
        <f>S131+PPMT(P$21,17,20,P131)</f>
        <v>0</v>
      </c>
      <c r="U131" s="127">
        <f>T131+PPMT(P$21,16,20,P131)</f>
        <v>0</v>
      </c>
      <c r="V131" s="127">
        <f>U131+PPMT(P$21,15,20,P131)</f>
        <v>0</v>
      </c>
      <c r="W131" s="127">
        <f>V131+PPMT(P$21,14,20,P131)</f>
        <v>0</v>
      </c>
      <c r="X131" s="127">
        <f>W131+PPMT(P$21,13,20,P131)</f>
        <v>0</v>
      </c>
      <c r="Y131" s="127">
        <f>X131+PPMT(P$21,12,20,P131)</f>
        <v>0</v>
      </c>
      <c r="Z131" s="127">
        <f>Y131+PPMT(P$21,11,20,P131)</f>
        <v>0</v>
      </c>
      <c r="AA131" s="127">
        <f>Z131+PPMT(P$21,10,20,P131)</f>
        <v>0</v>
      </c>
      <c r="AB131" s="127">
        <f>AA131+PPMT(P$21,9,20,P131)</f>
        <v>0</v>
      </c>
      <c r="AC131" s="127">
        <f>AB131+PPMT(P$21,8,20,P131)</f>
        <v>0</v>
      </c>
      <c r="AD131" s="127">
        <f>AC131+PPMT(P$21,7,20,P131)</f>
        <v>0</v>
      </c>
      <c r="AE131" s="127">
        <f>AD131+PPMT(P$21,6,20,P131)</f>
        <v>0</v>
      </c>
      <c r="AF131" s="127">
        <f>AE131+PPMT(P$21,5,20,P131)</f>
        <v>0</v>
      </c>
      <c r="AG131" s="424">
        <f>AF131+PPMT(P$21,4,20,P131)</f>
        <v>0</v>
      </c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</row>
    <row r="132" spans="3:47" s="29" customFormat="1" ht="15" hidden="1" outlineLevel="1" thickBot="1" x14ac:dyDescent="0.4">
      <c r="C132" s="126" t="s">
        <v>263</v>
      </c>
      <c r="D132" s="127"/>
      <c r="E132" s="127"/>
      <c r="F132" s="127"/>
      <c r="G132" s="127"/>
      <c r="H132" s="127"/>
      <c r="I132" s="28"/>
      <c r="J132" s="127"/>
      <c r="K132" s="127"/>
      <c r="L132" s="127"/>
      <c r="M132" s="127"/>
      <c r="N132" s="127"/>
      <c r="O132" s="28"/>
      <c r="P132" s="127"/>
      <c r="Q132" s="128">
        <f>Q$78+Q$52</f>
        <v>0</v>
      </c>
      <c r="R132" s="127">
        <f>Q132+PPMT(Q$21,20,20,Q132)</f>
        <v>0</v>
      </c>
      <c r="S132" s="127">
        <f>R132+PPMT(Q$21,19,20,Q132)</f>
        <v>0</v>
      </c>
      <c r="T132" s="127">
        <f>S132+PPMT(Q$21,18,20,Q132)</f>
        <v>0</v>
      </c>
      <c r="U132" s="127">
        <f>T132+PPMT(Q$21,17,20,Q132)</f>
        <v>0</v>
      </c>
      <c r="V132" s="127">
        <f>U132+PPMT(Q$21,16,20,Q132)</f>
        <v>0</v>
      </c>
      <c r="W132" s="127">
        <f>V132+PPMT(Q$21,15,20,Q132)</f>
        <v>0</v>
      </c>
      <c r="X132" s="127">
        <f>W132+PPMT(Q$21,14,20,Q132)</f>
        <v>0</v>
      </c>
      <c r="Y132" s="127">
        <f>X132+PPMT(Q$21,13,20,Q132)</f>
        <v>0</v>
      </c>
      <c r="Z132" s="127">
        <f>Y132+PPMT(Q$21,12,20,Q132)</f>
        <v>0</v>
      </c>
      <c r="AA132" s="127">
        <f>Z132+PPMT(Q$21,11,20,Q132)</f>
        <v>0</v>
      </c>
      <c r="AB132" s="127">
        <f>AA132+PPMT(Q$21,10,20,Q132)</f>
        <v>0</v>
      </c>
      <c r="AC132" s="127">
        <f>AB132+PPMT(Q$21,9,20,Q132)</f>
        <v>0</v>
      </c>
      <c r="AD132" s="127">
        <f>AC132+PPMT(Q$21,8,20,Q132)</f>
        <v>0</v>
      </c>
      <c r="AE132" s="127">
        <f>AD132+PPMT(Q$21,7,20,Q132)</f>
        <v>0</v>
      </c>
      <c r="AF132" s="127">
        <f>AE132+PPMT(Q$21,6,20,Q132)</f>
        <v>0</v>
      </c>
      <c r="AG132" s="424">
        <f>AF132+PPMT(Q$21,5,20,Q132)</f>
        <v>0</v>
      </c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</row>
    <row r="133" spans="3:47" s="29" customFormat="1" ht="15" hidden="1" outlineLevel="1" thickBot="1" x14ac:dyDescent="0.4">
      <c r="C133" s="126" t="s">
        <v>264</v>
      </c>
      <c r="D133" s="127"/>
      <c r="E133" s="127"/>
      <c r="F133" s="127"/>
      <c r="G133" s="127"/>
      <c r="H133" s="127"/>
      <c r="I133" s="28"/>
      <c r="J133" s="127"/>
      <c r="K133" s="127"/>
      <c r="L133" s="127"/>
      <c r="M133" s="127"/>
      <c r="N133" s="127"/>
      <c r="O133" s="28"/>
      <c r="P133" s="127"/>
      <c r="Q133" s="127"/>
      <c r="R133" s="128">
        <f>R$78+R$52</f>
        <v>400</v>
      </c>
      <c r="S133" s="127">
        <f>R133+PPMT(R$21,20,20,R133)</f>
        <v>374.96697415240021</v>
      </c>
      <c r="T133" s="127">
        <f>S133+PPMT(R$21,19,20,R133)</f>
        <v>350.54450991083945</v>
      </c>
      <c r="U133" s="127">
        <f>T133+PPMT(R$21,18,20,R133)</f>
        <v>326.71771552882893</v>
      </c>
      <c r="V133" s="127">
        <f>U133+PPMT(R$21,17,20,R133)</f>
        <v>303.47206247320895</v>
      </c>
      <c r="W133" s="127">
        <f>V133+PPMT(R$21,16,20,R133)</f>
        <v>280.79337656528702</v>
      </c>
      <c r="X133" s="127">
        <f>W133+PPMT(R$21,15,20,R133)</f>
        <v>258.66782933804609</v>
      </c>
      <c r="Y133" s="127">
        <f>X133+PPMT(R$21,14,20,R133)</f>
        <v>237.08192960415249</v>
      </c>
      <c r="Z133" s="127">
        <f>Y133+PPMT(R$21,13,20,R133)</f>
        <v>216.02251522962217</v>
      </c>
      <c r="AA133" s="127">
        <f>Z133+PPMT(R$21,12,20,R133)</f>
        <v>195.47674510812917</v>
      </c>
      <c r="AB133" s="127">
        <f>AA133+PPMT(R$21,11,20,R133)</f>
        <v>175.43209133106282</v>
      </c>
      <c r="AC133" s="127">
        <f>AB133+PPMT(R$21,10,20,R133)</f>
        <v>155.87633154855905</v>
      </c>
      <c r="AD133" s="127">
        <f>AC133+PPMT(R$21,9,20,R133)</f>
        <v>136.79754151684807</v>
      </c>
      <c r="AE133" s="127">
        <f>AD133+PPMT(R$21,8,20,R133)</f>
        <v>118.18408782737394</v>
      </c>
      <c r="AF133" s="127">
        <f>AE133+PPMT(R$21,7,20,R133)</f>
        <v>100.02462081325284</v>
      </c>
      <c r="AG133" s="424">
        <f>AF133+PPMT(R$21,6,20,R133)</f>
        <v>82.308067628744453</v>
      </c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</row>
    <row r="134" spans="3:47" s="29" customFormat="1" ht="15" hidden="1" outlineLevel="1" thickBot="1" x14ac:dyDescent="0.4">
      <c r="C134" s="126" t="s">
        <v>265</v>
      </c>
      <c r="D134" s="127"/>
      <c r="E134" s="127"/>
      <c r="F134" s="127"/>
      <c r="G134" s="127"/>
      <c r="H134" s="127"/>
      <c r="I134" s="28"/>
      <c r="J134" s="127"/>
      <c r="K134" s="127"/>
      <c r="L134" s="127"/>
      <c r="M134" s="127"/>
      <c r="N134" s="127"/>
      <c r="O134" s="28"/>
      <c r="P134" s="127"/>
      <c r="Q134" s="127"/>
      <c r="R134" s="127"/>
      <c r="S134" s="128">
        <f>S$78+S$52</f>
        <v>0</v>
      </c>
      <c r="T134" s="127">
        <f>S134+PPMT(S$21,20,20,S134)</f>
        <v>0</v>
      </c>
      <c r="U134" s="127">
        <f>T134+PPMT(S$21,19,20,S134)</f>
        <v>0</v>
      </c>
      <c r="V134" s="127">
        <f>U134+PPMT(S$21,18,20,S134)</f>
        <v>0</v>
      </c>
      <c r="W134" s="127">
        <f>V134+PPMT(S$21,17,20,S134)</f>
        <v>0</v>
      </c>
      <c r="X134" s="127">
        <f>W134+PPMT(S$21,16,20,S134)</f>
        <v>0</v>
      </c>
      <c r="Y134" s="127">
        <f>X134+PPMT(S$21,15,20,S134)</f>
        <v>0</v>
      </c>
      <c r="Z134" s="127">
        <f>Y134+PPMT(S$21,14,20,S134)</f>
        <v>0</v>
      </c>
      <c r="AA134" s="127">
        <f>Z134+PPMT(S$21,13,20,S134)</f>
        <v>0</v>
      </c>
      <c r="AB134" s="127">
        <f>AA134+PPMT(S$21,12,20,S134)</f>
        <v>0</v>
      </c>
      <c r="AC134" s="127">
        <f>AB134+PPMT(S$21,11,20,S134)</f>
        <v>0</v>
      </c>
      <c r="AD134" s="127">
        <f>AC134+PPMT(S$21,10,20,S134)</f>
        <v>0</v>
      </c>
      <c r="AE134" s="127">
        <f>AD134+PPMT(S$21,9,20,S134)</f>
        <v>0</v>
      </c>
      <c r="AF134" s="127">
        <f>AE134+PPMT(S$21,8,20,S134)</f>
        <v>0</v>
      </c>
      <c r="AG134" s="424">
        <f>AF134+PPMT(S$21,7,20,S134)</f>
        <v>0</v>
      </c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</row>
    <row r="135" spans="3:47" s="29" customFormat="1" ht="15" hidden="1" outlineLevel="1" thickBot="1" x14ac:dyDescent="0.4">
      <c r="C135" s="126" t="s">
        <v>266</v>
      </c>
      <c r="D135" s="127"/>
      <c r="E135" s="127"/>
      <c r="F135" s="127"/>
      <c r="G135" s="127"/>
      <c r="H135" s="127"/>
      <c r="I135" s="28"/>
      <c r="J135" s="127"/>
      <c r="K135" s="127"/>
      <c r="L135" s="127"/>
      <c r="M135" s="127"/>
      <c r="N135" s="127"/>
      <c r="O135" s="28"/>
      <c r="P135" s="127"/>
      <c r="Q135" s="127"/>
      <c r="R135" s="127"/>
      <c r="S135" s="127"/>
      <c r="T135" s="128">
        <f>T$78+T$52</f>
        <v>0</v>
      </c>
      <c r="U135" s="127">
        <f>T135+PPMT(T$21,20,20,T135)</f>
        <v>0</v>
      </c>
      <c r="V135" s="127">
        <f>U135+PPMT(T$21,19,20,T135)</f>
        <v>0</v>
      </c>
      <c r="W135" s="127">
        <f>V135+PPMT(T$21,18,20,T135)</f>
        <v>0</v>
      </c>
      <c r="X135" s="127">
        <f>W135+PPMT(T$21,17,20,T135)</f>
        <v>0</v>
      </c>
      <c r="Y135" s="127">
        <f>X135+PPMT(T$21,16,20,T135)</f>
        <v>0</v>
      </c>
      <c r="Z135" s="127">
        <f>Y135+PPMT(T$21,15,20,T135)</f>
        <v>0</v>
      </c>
      <c r="AA135" s="127">
        <f>Z135+PPMT(T$21,14,20,T135)</f>
        <v>0</v>
      </c>
      <c r="AB135" s="127">
        <f>AA135+PPMT(T$21,13,20,T135)</f>
        <v>0</v>
      </c>
      <c r="AC135" s="127">
        <f>AB135+PPMT(T$21,12,20,T135)</f>
        <v>0</v>
      </c>
      <c r="AD135" s="127">
        <f>AC135+PPMT(T$21,11,20,T135)</f>
        <v>0</v>
      </c>
      <c r="AE135" s="127">
        <f>AD135+PPMT(T$21,10,20,T135)</f>
        <v>0</v>
      </c>
      <c r="AF135" s="127">
        <f>AE135+PPMT(T$21,9,20,T135)</f>
        <v>0</v>
      </c>
      <c r="AG135" s="424">
        <f>AF135+PPMT(T$21,8,20,T135)</f>
        <v>0</v>
      </c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</row>
    <row r="136" spans="3:47" s="29" customFormat="1" ht="15" hidden="1" outlineLevel="1" thickBot="1" x14ac:dyDescent="0.4">
      <c r="C136" s="126" t="s">
        <v>267</v>
      </c>
      <c r="D136" s="127"/>
      <c r="E136" s="127"/>
      <c r="F136" s="127"/>
      <c r="G136" s="127"/>
      <c r="H136" s="127"/>
      <c r="I136" s="28"/>
      <c r="J136" s="127"/>
      <c r="K136" s="127"/>
      <c r="L136" s="127"/>
      <c r="M136" s="127"/>
      <c r="N136" s="127"/>
      <c r="O136" s="28"/>
      <c r="P136" s="127"/>
      <c r="Q136" s="127"/>
      <c r="R136" s="127"/>
      <c r="S136" s="127"/>
      <c r="T136" s="127"/>
      <c r="U136" s="128">
        <f>U$78+U$52</f>
        <v>0</v>
      </c>
      <c r="V136" s="127">
        <f>U136+PPMT(U$21,20,20,U136)</f>
        <v>0</v>
      </c>
      <c r="W136" s="127">
        <f>V136+PPMT(U$21,19,20,U136)</f>
        <v>0</v>
      </c>
      <c r="X136" s="127">
        <f>W136+PPMT(U$21,18,20,U136)</f>
        <v>0</v>
      </c>
      <c r="Y136" s="127">
        <f>X136+PPMT(U$21,17,20,U136)</f>
        <v>0</v>
      </c>
      <c r="Z136" s="127">
        <f>Y136+PPMT(U$21,16,20,U136)</f>
        <v>0</v>
      </c>
      <c r="AA136" s="127">
        <f>Z136+PPMT(U$21,15,20,U136)</f>
        <v>0</v>
      </c>
      <c r="AB136" s="127">
        <f>AA136+PPMT(U$21,14,20,U136)</f>
        <v>0</v>
      </c>
      <c r="AC136" s="127">
        <f>AB136+PPMT(U$21,13,20,U136)</f>
        <v>0</v>
      </c>
      <c r="AD136" s="127">
        <f>AC136+PPMT(U$21,12,20,U136)</f>
        <v>0</v>
      </c>
      <c r="AE136" s="127">
        <f>AD136+PPMT(U$21,11,20,U136)</f>
        <v>0</v>
      </c>
      <c r="AF136" s="127">
        <f>AE136+PPMT(U$21,10,20,U136)</f>
        <v>0</v>
      </c>
      <c r="AG136" s="424">
        <f>AF136+PPMT(U$21,9,20,U136)</f>
        <v>0</v>
      </c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</row>
    <row r="137" spans="3:47" s="29" customFormat="1" ht="15" hidden="1" outlineLevel="1" thickBot="1" x14ac:dyDescent="0.4">
      <c r="C137" s="126" t="s">
        <v>268</v>
      </c>
      <c r="D137" s="127"/>
      <c r="E137" s="127"/>
      <c r="F137" s="127"/>
      <c r="G137" s="127"/>
      <c r="H137" s="127"/>
      <c r="I137" s="28"/>
      <c r="J137" s="127"/>
      <c r="K137" s="127"/>
      <c r="L137" s="127"/>
      <c r="M137" s="127"/>
      <c r="N137" s="127"/>
      <c r="O137" s="28"/>
      <c r="P137" s="127"/>
      <c r="Q137" s="127"/>
      <c r="R137" s="127"/>
      <c r="S137" s="127"/>
      <c r="T137" s="127"/>
      <c r="U137" s="127"/>
      <c r="V137" s="128">
        <f>V$78+V$52</f>
        <v>350</v>
      </c>
      <c r="W137" s="127">
        <f>V137+PPMT(V$21,20,20,V137)</f>
        <v>328.09610238335017</v>
      </c>
      <c r="X137" s="127">
        <f>W137+PPMT(V$21,19,20,V137)</f>
        <v>306.72644617198449</v>
      </c>
      <c r="Y137" s="127">
        <f>X137+PPMT(V$21,18,20,V137)</f>
        <v>285.87800108772529</v>
      </c>
      <c r="Z137" s="127">
        <f>Y137+PPMT(V$21,17,20,V137)</f>
        <v>265.53805466405777</v>
      </c>
      <c r="AA137" s="127">
        <f>Z137+PPMT(V$21,16,20,V137)</f>
        <v>245.69420449462606</v>
      </c>
      <c r="AB137" s="127">
        <f>AA137+PPMT(V$21,15,20,V137)</f>
        <v>226.33435067079026</v>
      </c>
      <c r="AC137" s="127">
        <f>AB137+PPMT(V$21,14,20,V137)</f>
        <v>207.44668840363337</v>
      </c>
      <c r="AD137" s="127">
        <f>AC137+PPMT(V$21,13,20,V137)</f>
        <v>189.01970082591933</v>
      </c>
      <c r="AE137" s="127">
        <f>AD137+PPMT(V$21,12,20,V137)</f>
        <v>171.04215196961295</v>
      </c>
      <c r="AF137" s="127">
        <f>AE137+PPMT(V$21,11,20,V137)</f>
        <v>153.50307991467989</v>
      </c>
      <c r="AG137" s="424">
        <f>AF137+PPMT(V$21,10,20,V137)</f>
        <v>136.3917901049891</v>
      </c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</row>
    <row r="138" spans="3:47" s="29" customFormat="1" ht="15" hidden="1" outlineLevel="1" thickBot="1" x14ac:dyDescent="0.4">
      <c r="C138" s="126" t="s">
        <v>269</v>
      </c>
      <c r="D138" s="127"/>
      <c r="E138" s="127"/>
      <c r="F138" s="127"/>
      <c r="G138" s="127"/>
      <c r="H138" s="127"/>
      <c r="I138" s="28"/>
      <c r="J138" s="127"/>
      <c r="K138" s="127"/>
      <c r="L138" s="127"/>
      <c r="M138" s="127"/>
      <c r="N138" s="127"/>
      <c r="O138" s="28"/>
      <c r="P138" s="127"/>
      <c r="Q138" s="127"/>
      <c r="R138" s="127"/>
      <c r="S138" s="127"/>
      <c r="T138" s="127"/>
      <c r="U138" s="127"/>
      <c r="V138" s="127"/>
      <c r="W138" s="128">
        <f>W$78+W$52</f>
        <v>0</v>
      </c>
      <c r="X138" s="127">
        <f>W138+PPMT(W$21,20,20,W138)</f>
        <v>0</v>
      </c>
      <c r="Y138" s="127">
        <f>X138+PPMT(W$21,19,20,W138)</f>
        <v>0</v>
      </c>
      <c r="Z138" s="127">
        <f>Y138+PPMT(W$21,18,20,W138)</f>
        <v>0</v>
      </c>
      <c r="AA138" s="127">
        <f>Z138+PPMT(W$21,17,20,W138)</f>
        <v>0</v>
      </c>
      <c r="AB138" s="127">
        <f>AA138+PPMT(W$21,16,20,W138)</f>
        <v>0</v>
      </c>
      <c r="AC138" s="127">
        <f>AB138+PPMT(W$21,15,20,W138)</f>
        <v>0</v>
      </c>
      <c r="AD138" s="127">
        <f>AC138+PPMT(W$21,14,20,W138)</f>
        <v>0</v>
      </c>
      <c r="AE138" s="127">
        <f>AD138+PPMT(W$21,13,20,W138)</f>
        <v>0</v>
      </c>
      <c r="AF138" s="127">
        <f>AE138+PPMT(W$21,12,20,W138)</f>
        <v>0</v>
      </c>
      <c r="AG138" s="424">
        <f>AF138+PPMT(W$21,11,20,W138)</f>
        <v>0</v>
      </c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</row>
    <row r="139" spans="3:47" s="29" customFormat="1" ht="15" hidden="1" outlineLevel="1" thickBot="1" x14ac:dyDescent="0.4">
      <c r="C139" s="126" t="s">
        <v>270</v>
      </c>
      <c r="D139" s="127"/>
      <c r="E139" s="127"/>
      <c r="F139" s="127"/>
      <c r="G139" s="127"/>
      <c r="H139" s="127"/>
      <c r="I139" s="28"/>
      <c r="J139" s="127"/>
      <c r="K139" s="127"/>
      <c r="L139" s="127"/>
      <c r="M139" s="127"/>
      <c r="N139" s="127"/>
      <c r="O139" s="28"/>
      <c r="P139" s="127"/>
      <c r="Q139" s="127"/>
      <c r="R139" s="127"/>
      <c r="S139" s="127"/>
      <c r="T139" s="127"/>
      <c r="U139" s="127"/>
      <c r="V139" s="127"/>
      <c r="W139" s="127"/>
      <c r="X139" s="128">
        <f>X$78+X$52</f>
        <v>0</v>
      </c>
      <c r="Y139" s="127">
        <f>X139+PPMT(X$21,20,20,X139)</f>
        <v>0</v>
      </c>
      <c r="Z139" s="127">
        <f>Y139+PPMT(X$21,19,20,X139)</f>
        <v>0</v>
      </c>
      <c r="AA139" s="127">
        <f>Z139+PPMT(X$21,18,20,X139)</f>
        <v>0</v>
      </c>
      <c r="AB139" s="127">
        <f>AA139+PPMT(X$21,17,20,X139)</f>
        <v>0</v>
      </c>
      <c r="AC139" s="127">
        <f>AB139+PPMT(X$21,16,20,X139)</f>
        <v>0</v>
      </c>
      <c r="AD139" s="127">
        <f>AC139+PPMT(X$21,15,20,X139)</f>
        <v>0</v>
      </c>
      <c r="AE139" s="127">
        <f>AD139+PPMT(X$21,14,20,X139)</f>
        <v>0</v>
      </c>
      <c r="AF139" s="127">
        <f>AE139+PPMT(X$21,13,20,X139)</f>
        <v>0</v>
      </c>
      <c r="AG139" s="424">
        <f>AF139+PPMT(X$21,12,20,X139)</f>
        <v>0</v>
      </c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</row>
    <row r="140" spans="3:47" s="29" customFormat="1" ht="15" hidden="1" outlineLevel="1" thickBot="1" x14ac:dyDescent="0.4">
      <c r="C140" s="126" t="s">
        <v>271</v>
      </c>
      <c r="D140" s="127"/>
      <c r="E140" s="127"/>
      <c r="F140" s="127"/>
      <c r="G140" s="127"/>
      <c r="H140" s="127"/>
      <c r="I140" s="28"/>
      <c r="J140" s="127"/>
      <c r="K140" s="127"/>
      <c r="L140" s="127"/>
      <c r="M140" s="127"/>
      <c r="N140" s="127"/>
      <c r="O140" s="28"/>
      <c r="P140" s="127"/>
      <c r="Q140" s="127"/>
      <c r="R140" s="127"/>
      <c r="S140" s="127"/>
      <c r="T140" s="127"/>
      <c r="U140" s="127"/>
      <c r="V140" s="127"/>
      <c r="W140" s="127"/>
      <c r="X140" s="127"/>
      <c r="Y140" s="128">
        <f>Y$78+Y$52</f>
        <v>0</v>
      </c>
      <c r="Z140" s="127">
        <f>Y140+PPMT(Y$21,20,20,Y140)</f>
        <v>0</v>
      </c>
      <c r="AA140" s="127">
        <f>Z140+PPMT(Y$21,19,20,Y140)</f>
        <v>0</v>
      </c>
      <c r="AB140" s="127">
        <f>AA140+PPMT(Y$21,18,20,Y140)</f>
        <v>0</v>
      </c>
      <c r="AC140" s="127">
        <f>AB140+PPMT(Y$21,17,20,Y140)</f>
        <v>0</v>
      </c>
      <c r="AD140" s="127">
        <f>AC140+PPMT(Y$21,16,20,Y140)</f>
        <v>0</v>
      </c>
      <c r="AE140" s="127">
        <f>AD140+PPMT(Y$21,15,20,Y140)</f>
        <v>0</v>
      </c>
      <c r="AF140" s="127">
        <f>AE140+PPMT(Y$21,14,20,Y140)</f>
        <v>0</v>
      </c>
      <c r="AG140" s="424">
        <f>AF140+PPMT(Y$21,13,20,Y140)</f>
        <v>0</v>
      </c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</row>
    <row r="141" spans="3:47" s="29" customFormat="1" ht="15" hidden="1" outlineLevel="1" thickBot="1" x14ac:dyDescent="0.4">
      <c r="C141" s="126" t="s">
        <v>272</v>
      </c>
      <c r="D141" s="127"/>
      <c r="E141" s="127"/>
      <c r="F141" s="127"/>
      <c r="G141" s="127"/>
      <c r="H141" s="127"/>
      <c r="I141" s="28"/>
      <c r="J141" s="127"/>
      <c r="K141" s="127"/>
      <c r="L141" s="127"/>
      <c r="M141" s="127"/>
      <c r="N141" s="127"/>
      <c r="O141" s="28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8">
        <f>Z$78+Z$52</f>
        <v>400</v>
      </c>
      <c r="AA141" s="127">
        <f>Z141+PPMT(Z$21,20,20,Z141)</f>
        <v>374.96697415240021</v>
      </c>
      <c r="AB141" s="127">
        <f>AA141+PPMT(Z$21,19,20,Z141)</f>
        <v>350.54450991083945</v>
      </c>
      <c r="AC141" s="127">
        <f>AB141+PPMT(Z$21,18,20,Z141)</f>
        <v>326.71771552882893</v>
      </c>
      <c r="AD141" s="127">
        <f>AC141+PPMT(Z$21,17,20,Z141)</f>
        <v>303.47206247320895</v>
      </c>
      <c r="AE141" s="127">
        <f>AD141+PPMT(Z$21,16,20,Z141)</f>
        <v>280.79337656528702</v>
      </c>
      <c r="AF141" s="127">
        <f>AE141+PPMT(Z$21,15,20,Z141)</f>
        <v>258.66782933804609</v>
      </c>
      <c r="AG141" s="424">
        <f>AF141+PPMT(Z$21,14,20,Z141)</f>
        <v>237.08192960415249</v>
      </c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</row>
    <row r="142" spans="3:47" s="29" customFormat="1" ht="15" hidden="1" outlineLevel="1" thickBot="1" x14ac:dyDescent="0.4">
      <c r="C142" s="126" t="s">
        <v>273</v>
      </c>
      <c r="D142" s="127"/>
      <c r="E142" s="127"/>
      <c r="F142" s="127"/>
      <c r="G142" s="127"/>
      <c r="H142" s="127"/>
      <c r="I142" s="28"/>
      <c r="J142" s="127"/>
      <c r="K142" s="127"/>
      <c r="L142" s="127"/>
      <c r="M142" s="127"/>
      <c r="N142" s="127"/>
      <c r="O142" s="28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8">
        <f>AA$78+AA$52</f>
        <v>0</v>
      </c>
      <c r="AB142" s="127">
        <f>AA142+PPMT(AA$21,20,20,AA142)</f>
        <v>0</v>
      </c>
      <c r="AC142" s="127">
        <f>AB142+PPMT(AA$21,19,20,AA142)</f>
        <v>0</v>
      </c>
      <c r="AD142" s="127">
        <f>AC142+PPMT(AA$21,18,20,AA142)</f>
        <v>0</v>
      </c>
      <c r="AE142" s="127">
        <f>AD142+PPMT(AA$21,17,20,AA142)</f>
        <v>0</v>
      </c>
      <c r="AF142" s="127">
        <f>AE142+PPMT(AA$21,16,20,AA142)</f>
        <v>0</v>
      </c>
      <c r="AG142" s="424">
        <f>AF142+PPMT(AA$21,15,20,AA142)</f>
        <v>0</v>
      </c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</row>
    <row r="143" spans="3:47" s="29" customFormat="1" ht="15" hidden="1" outlineLevel="1" thickBot="1" x14ac:dyDescent="0.4">
      <c r="C143" s="126" t="s">
        <v>274</v>
      </c>
      <c r="D143" s="127"/>
      <c r="E143" s="127"/>
      <c r="F143" s="127"/>
      <c r="G143" s="127"/>
      <c r="H143" s="127"/>
      <c r="I143" s="28"/>
      <c r="J143" s="127"/>
      <c r="K143" s="127"/>
      <c r="L143" s="127"/>
      <c r="M143" s="127"/>
      <c r="N143" s="127"/>
      <c r="O143" s="28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8">
        <f>AB$78+AB$52</f>
        <v>0</v>
      </c>
      <c r="AC143" s="127">
        <f>AB143+PPMT(AB$21,20,20,AB143)</f>
        <v>0</v>
      </c>
      <c r="AD143" s="127">
        <f>AC143+PPMT(AB$21,19,20,AB143)</f>
        <v>0</v>
      </c>
      <c r="AE143" s="127">
        <f>AD143+PPMT(AB$21,18,20,AB143)</f>
        <v>0</v>
      </c>
      <c r="AF143" s="127">
        <f>AE143+PPMT(AB$21,17,20,AB143)</f>
        <v>0</v>
      </c>
      <c r="AG143" s="424">
        <f>AF143+PPMT(AB$21,16,20,AB143)</f>
        <v>0</v>
      </c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3:47" s="29" customFormat="1" ht="15" hidden="1" outlineLevel="1" thickBot="1" x14ac:dyDescent="0.4">
      <c r="C144" s="126" t="s">
        <v>275</v>
      </c>
      <c r="D144" s="127"/>
      <c r="E144" s="127"/>
      <c r="F144" s="127"/>
      <c r="G144" s="127"/>
      <c r="H144" s="127"/>
      <c r="I144" s="28"/>
      <c r="J144" s="127"/>
      <c r="K144" s="127"/>
      <c r="L144" s="127"/>
      <c r="M144" s="127"/>
      <c r="N144" s="127"/>
      <c r="O144" s="28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8">
        <f>AC$78+AC$52</f>
        <v>0</v>
      </c>
      <c r="AD144" s="127">
        <f>AC144+PPMT(AC$21,20,20,AC144)</f>
        <v>0</v>
      </c>
      <c r="AE144" s="127">
        <f>AD144+PPMT(AC$21,19,20,AC144)</f>
        <v>0</v>
      </c>
      <c r="AF144" s="127">
        <f>AE144+PPMT(AC$21,18,20,AC144)</f>
        <v>0</v>
      </c>
      <c r="AG144" s="424">
        <f>AF144+PPMT(AC$21,17,20,AC144)</f>
        <v>0</v>
      </c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</row>
    <row r="145" spans="3:44" s="29" customFormat="1" ht="15" hidden="1" outlineLevel="1" thickBot="1" x14ac:dyDescent="0.4">
      <c r="C145" s="126" t="s">
        <v>276</v>
      </c>
      <c r="D145" s="127"/>
      <c r="E145" s="127"/>
      <c r="F145" s="127"/>
      <c r="G145" s="127"/>
      <c r="H145" s="127"/>
      <c r="I145" s="28"/>
      <c r="J145" s="127"/>
      <c r="K145" s="127"/>
      <c r="L145" s="127"/>
      <c r="M145" s="127"/>
      <c r="N145" s="127"/>
      <c r="O145" s="28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8">
        <f>AD$78+AD$52</f>
        <v>0</v>
      </c>
      <c r="AE145" s="127">
        <f>AD145+PPMT(AD$21,20,20,AD145)</f>
        <v>0</v>
      </c>
      <c r="AF145" s="127">
        <f>AE145+PPMT(AD$21,19,20,AD145)</f>
        <v>0</v>
      </c>
      <c r="AG145" s="424">
        <f>AF145+PPMT(AD$21,18,20,AD145)</f>
        <v>0</v>
      </c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</row>
    <row r="146" spans="3:44" s="29" customFormat="1" ht="15" hidden="1" outlineLevel="1" thickBot="1" x14ac:dyDescent="0.4">
      <c r="C146" s="126" t="s">
        <v>277</v>
      </c>
      <c r="D146" s="127"/>
      <c r="E146" s="127"/>
      <c r="F146" s="127"/>
      <c r="G146" s="127"/>
      <c r="H146" s="127"/>
      <c r="I146" s="28"/>
      <c r="J146" s="127"/>
      <c r="K146" s="127"/>
      <c r="L146" s="127"/>
      <c r="M146" s="127"/>
      <c r="N146" s="127"/>
      <c r="O146" s="28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8">
        <f>AE$78+AE$52</f>
        <v>400</v>
      </c>
      <c r="AF146" s="127">
        <f>AE146+PPMT(AE$21,20,20,AE146)</f>
        <v>374.96697415240021</v>
      </c>
      <c r="AG146" s="424">
        <f>AF146+PPMT(AE$21,19,20,AE146)</f>
        <v>350.54450991083945</v>
      </c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</row>
    <row r="147" spans="3:44" s="29" customFormat="1" ht="15" hidden="1" outlineLevel="1" thickBot="1" x14ac:dyDescent="0.4">
      <c r="C147" s="126" t="s">
        <v>278</v>
      </c>
      <c r="D147" s="127"/>
      <c r="E147" s="127"/>
      <c r="F147" s="127"/>
      <c r="G147" s="127"/>
      <c r="H147" s="127"/>
      <c r="I147" s="28"/>
      <c r="J147" s="127"/>
      <c r="K147" s="127"/>
      <c r="L147" s="127"/>
      <c r="M147" s="127"/>
      <c r="N147" s="127"/>
      <c r="O147" s="28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8">
        <f>AF$78+AF$52</f>
        <v>0</v>
      </c>
      <c r="AG147" s="424">
        <f>AF147+PPMT(AF$21,20,20,AF147)</f>
        <v>0</v>
      </c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</row>
    <row r="148" spans="3:44" s="29" customFormat="1" ht="15" hidden="1" outlineLevel="1" thickBot="1" x14ac:dyDescent="0.4">
      <c r="C148" s="126" t="s">
        <v>279</v>
      </c>
      <c r="D148" s="127"/>
      <c r="E148" s="127"/>
      <c r="F148" s="127"/>
      <c r="G148" s="127"/>
      <c r="H148" s="127"/>
      <c r="I148" s="28"/>
      <c r="J148" s="127"/>
      <c r="K148" s="127"/>
      <c r="L148" s="127"/>
      <c r="M148" s="127"/>
      <c r="N148" s="127"/>
      <c r="O148" s="28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450">
        <f>AG$78+AG$52</f>
        <v>0</v>
      </c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</row>
    <row r="149" spans="3:44" collapsed="1" x14ac:dyDescent="0.35">
      <c r="C149" s="130" t="s">
        <v>104</v>
      </c>
      <c r="D149" s="131"/>
      <c r="E149" s="131"/>
      <c r="F149" s="132">
        <f t="shared" ref="F149:AG149" si="379">SUM(F120:F148)</f>
        <v>427</v>
      </c>
      <c r="G149" s="132">
        <f t="shared" si="379"/>
        <v>405.70524144344665</v>
      </c>
      <c r="H149" s="133">
        <f t="shared" si="379"/>
        <v>384.4823926381813</v>
      </c>
      <c r="I149" s="387">
        <f t="shared" si="379"/>
        <v>501.29104422224486</v>
      </c>
      <c r="J149" s="133">
        <f t="shared" si="379"/>
        <v>862.82809197991435</v>
      </c>
      <c r="K149" s="133">
        <f t="shared" si="379"/>
        <v>772.73683719719065</v>
      </c>
      <c r="L149" s="133">
        <f t="shared" si="379"/>
        <v>969.91315801362578</v>
      </c>
      <c r="M149" s="133">
        <f t="shared" si="379"/>
        <v>902.57453904873591</v>
      </c>
      <c r="N149" s="133">
        <f t="shared" si="379"/>
        <v>837.44528669964461</v>
      </c>
      <c r="O149" s="387">
        <f t="shared" si="379"/>
        <v>1274.4487427223289</v>
      </c>
      <c r="P149" s="133">
        <f t="shared" si="379"/>
        <v>1180.8821086047228</v>
      </c>
      <c r="Q149" s="133">
        <f t="shared" si="379"/>
        <v>1090.2536439224007</v>
      </c>
      <c r="R149" s="133">
        <f t="shared" si="379"/>
        <v>1402.467207233979</v>
      </c>
      <c r="S149" s="133">
        <f t="shared" si="379"/>
        <v>1292.3969560284154</v>
      </c>
      <c r="T149" s="133">
        <f t="shared" si="379"/>
        <v>1185.596862963584</v>
      </c>
      <c r="U149" s="133">
        <f t="shared" si="379"/>
        <v>1081.9655053316076</v>
      </c>
      <c r="V149" s="133">
        <f t="shared" si="379"/>
        <v>1331.4047941093559</v>
      </c>
      <c r="W149" s="133">
        <f t="shared" si="379"/>
        <v>1211.9159585929294</v>
      </c>
      <c r="X149" s="133">
        <f t="shared" si="379"/>
        <v>1095.845367404472</v>
      </c>
      <c r="Y149" s="133">
        <f t="shared" si="379"/>
        <v>983.09121362004521</v>
      </c>
      <c r="Z149" s="133">
        <f t="shared" si="379"/>
        <v>1273.5548970856453</v>
      </c>
      <c r="AA149" s="133">
        <f t="shared" si="379"/>
        <v>1142.1078899904567</v>
      </c>
      <c r="AB149" s="133">
        <f t="shared" si="379"/>
        <v>1014.301271431573</v>
      </c>
      <c r="AC149" s="133">
        <f t="shared" si="379"/>
        <v>891.05549291117745</v>
      </c>
      <c r="AD149" s="133">
        <f t="shared" si="379"/>
        <v>777.35198534220171</v>
      </c>
      <c r="AE149" s="133">
        <f t="shared" si="379"/>
        <v>1082.1283218983631</v>
      </c>
      <c r="AF149" s="133">
        <f t="shared" si="379"/>
        <v>964.4592283546358</v>
      </c>
      <c r="AG149" s="425">
        <f t="shared" si="379"/>
        <v>858.94793990983919</v>
      </c>
    </row>
    <row r="150" spans="3:44" ht="15" thickBot="1" x14ac:dyDescent="0.4">
      <c r="C150" s="440" t="s">
        <v>282</v>
      </c>
      <c r="D150" s="135"/>
      <c r="E150" s="135"/>
      <c r="F150" s="136">
        <f>F177+F207</f>
        <v>-53.738043568611012</v>
      </c>
      <c r="G150" s="136">
        <f t="shared" ref="G150:AG150" si="380">G177+G207</f>
        <v>-53.466615076691824</v>
      </c>
      <c r="H150" s="137">
        <f t="shared" si="380"/>
        <v>-53.937270054921292</v>
      </c>
      <c r="I150" s="388">
        <f t="shared" si="380"/>
        <v>-56.520074711139401</v>
      </c>
      <c r="J150" s="137">
        <f t="shared" si="380"/>
        <v>-67.679268575806447</v>
      </c>
      <c r="K150" s="137">
        <f t="shared" si="380"/>
        <v>-60.314944304471581</v>
      </c>
      <c r="L150" s="137">
        <f t="shared" si="380"/>
        <v>-60.314944304471581</v>
      </c>
      <c r="M150" s="137">
        <f t="shared" si="380"/>
        <v>-77.118871203686354</v>
      </c>
      <c r="N150" s="137">
        <f t="shared" si="380"/>
        <v>-77.118871203686354</v>
      </c>
      <c r="O150" s="388">
        <f t="shared" si="380"/>
        <v>-77.118871203686354</v>
      </c>
      <c r="P150" s="137">
        <f t="shared" si="380"/>
        <v>-110.72672500211591</v>
      </c>
      <c r="Q150" s="137">
        <f t="shared" si="380"/>
        <v>-110.72672500211591</v>
      </c>
      <c r="R150" s="137">
        <f t="shared" si="380"/>
        <v>-110.72672500211591</v>
      </c>
      <c r="S150" s="137">
        <f t="shared" si="380"/>
        <v>-136.3855764959057</v>
      </c>
      <c r="T150" s="137">
        <f t="shared" si="380"/>
        <v>-136.3855764959057</v>
      </c>
      <c r="U150" s="137">
        <f t="shared" si="380"/>
        <v>-136.3855764959057</v>
      </c>
      <c r="V150" s="137">
        <f t="shared" si="380"/>
        <v>-136.3855764959057</v>
      </c>
      <c r="W150" s="137">
        <f t="shared" si="380"/>
        <v>-158.83707155297174</v>
      </c>
      <c r="X150" s="137">
        <f t="shared" si="380"/>
        <v>-158.83707155297174</v>
      </c>
      <c r="Y150" s="137">
        <f t="shared" si="380"/>
        <v>-158.83707155297174</v>
      </c>
      <c r="Z150" s="137">
        <f t="shared" si="380"/>
        <v>-158.83707155297174</v>
      </c>
      <c r="AA150" s="137">
        <f t="shared" si="380"/>
        <v>-184.49592304676153</v>
      </c>
      <c r="AB150" s="137">
        <f t="shared" si="380"/>
        <v>-184.49592304676153</v>
      </c>
      <c r="AC150" s="137">
        <f t="shared" si="380"/>
        <v>-179.79082351498141</v>
      </c>
      <c r="AD150" s="137">
        <f t="shared" si="380"/>
        <v>-164.66728930568809</v>
      </c>
      <c r="AE150" s="137">
        <f t="shared" si="380"/>
        <v>-144.50257702663038</v>
      </c>
      <c r="AF150" s="137">
        <f t="shared" si="380"/>
        <v>-160.07907238089126</v>
      </c>
      <c r="AG150" s="442">
        <f t="shared" si="380"/>
        <v>-153.35750162120536</v>
      </c>
    </row>
    <row r="151" spans="3:44" hidden="1" outlineLevel="1" x14ac:dyDescent="0.35">
      <c r="C151" s="291" t="s">
        <v>280</v>
      </c>
      <c r="D151" s="438"/>
      <c r="E151" s="438"/>
      <c r="F151" s="439"/>
      <c r="G151" s="439"/>
      <c r="H151" s="120"/>
      <c r="I151" s="120"/>
      <c r="J151" s="120"/>
      <c r="K151" s="120"/>
      <c r="L151" s="120"/>
      <c r="M151" s="120"/>
      <c r="N151" s="120"/>
      <c r="O151" s="391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428"/>
    </row>
    <row r="152" spans="3:44" hidden="1" outlineLevel="1" x14ac:dyDescent="0.35">
      <c r="C152" s="126" t="s">
        <v>254</v>
      </c>
      <c r="D152" s="438"/>
      <c r="E152" s="438"/>
      <c r="F152" s="439"/>
      <c r="G152" s="439"/>
      <c r="H152" s="120"/>
      <c r="I152" s="120">
        <f>PMT(H$21,20,H$52)</f>
        <v>-2.1108323034907861</v>
      </c>
      <c r="J152" s="120">
        <f>I152</f>
        <v>-2.1108323034907861</v>
      </c>
      <c r="K152" s="120">
        <f t="shared" ref="K152:AG153" si="381">J152</f>
        <v>-2.1108323034907861</v>
      </c>
      <c r="L152" s="120">
        <f t="shared" si="381"/>
        <v>-2.1108323034907861</v>
      </c>
      <c r="M152" s="120">
        <f t="shared" si="381"/>
        <v>-2.1108323034907861</v>
      </c>
      <c r="N152" s="120">
        <f t="shared" si="381"/>
        <v>-2.1108323034907861</v>
      </c>
      <c r="O152" s="391">
        <f t="shared" si="381"/>
        <v>-2.1108323034907861</v>
      </c>
      <c r="P152" s="120">
        <f t="shared" si="381"/>
        <v>-2.1108323034907861</v>
      </c>
      <c r="Q152" s="120">
        <f t="shared" si="381"/>
        <v>-2.1108323034907861</v>
      </c>
      <c r="R152" s="120">
        <f t="shared" si="381"/>
        <v>-2.1108323034907861</v>
      </c>
      <c r="S152" s="120">
        <f t="shared" si="381"/>
        <v>-2.1108323034907861</v>
      </c>
      <c r="T152" s="120">
        <f t="shared" si="381"/>
        <v>-2.1108323034907861</v>
      </c>
      <c r="U152" s="120">
        <f t="shared" si="381"/>
        <v>-2.1108323034907861</v>
      </c>
      <c r="V152" s="120">
        <f t="shared" si="381"/>
        <v>-2.1108323034907861</v>
      </c>
      <c r="W152" s="120">
        <f t="shared" si="381"/>
        <v>-2.1108323034907861</v>
      </c>
      <c r="X152" s="120">
        <f t="shared" si="381"/>
        <v>-2.1108323034907861</v>
      </c>
      <c r="Y152" s="120">
        <f t="shared" si="381"/>
        <v>-2.1108323034907861</v>
      </c>
      <c r="Z152" s="120">
        <f t="shared" si="381"/>
        <v>-2.1108323034907861</v>
      </c>
      <c r="AA152" s="120">
        <f t="shared" si="381"/>
        <v>-2.1108323034907861</v>
      </c>
      <c r="AB152" s="120">
        <f t="shared" si="381"/>
        <v>-2.1108323034907861</v>
      </c>
      <c r="AC152" s="120">
        <f t="shared" si="381"/>
        <v>-2.1108323034907861</v>
      </c>
      <c r="AD152" s="120">
        <f t="shared" si="381"/>
        <v>-2.1108323034907861</v>
      </c>
      <c r="AE152" s="120">
        <f t="shared" si="381"/>
        <v>-2.1108323034907861</v>
      </c>
      <c r="AF152" s="120">
        <f t="shared" si="381"/>
        <v>-2.1108323034907861</v>
      </c>
      <c r="AG152" s="428">
        <f t="shared" si="381"/>
        <v>-2.1108323034907861</v>
      </c>
    </row>
    <row r="153" spans="3:44" hidden="1" outlineLevel="1" x14ac:dyDescent="0.35">
      <c r="C153" s="126" t="s">
        <v>255</v>
      </c>
      <c r="D153" s="438"/>
      <c r="E153" s="438"/>
      <c r="F153" s="439"/>
      <c r="G153" s="439"/>
      <c r="H153" s="120"/>
      <c r="I153" s="391"/>
      <c r="J153" s="120">
        <f>PMT(I$21,20,I$52)</f>
        <v>-4.7050995317801387</v>
      </c>
      <c r="K153" s="120">
        <f t="shared" si="381"/>
        <v>-4.7050995317801387</v>
      </c>
      <c r="L153" s="120">
        <f t="shared" si="381"/>
        <v>-4.7050995317801387</v>
      </c>
      <c r="M153" s="120">
        <f t="shared" si="381"/>
        <v>-4.7050995317801387</v>
      </c>
      <c r="N153" s="120">
        <f t="shared" si="381"/>
        <v>-4.7050995317801387</v>
      </c>
      <c r="O153" s="391">
        <f t="shared" si="381"/>
        <v>-4.7050995317801387</v>
      </c>
      <c r="P153" s="120">
        <f t="shared" si="381"/>
        <v>-4.7050995317801387</v>
      </c>
      <c r="Q153" s="120">
        <f t="shared" si="381"/>
        <v>-4.7050995317801387</v>
      </c>
      <c r="R153" s="120">
        <f t="shared" si="381"/>
        <v>-4.7050995317801387</v>
      </c>
      <c r="S153" s="120">
        <f t="shared" si="381"/>
        <v>-4.7050995317801387</v>
      </c>
      <c r="T153" s="120">
        <f t="shared" si="381"/>
        <v>-4.7050995317801387</v>
      </c>
      <c r="U153" s="120">
        <f t="shared" si="381"/>
        <v>-4.7050995317801387</v>
      </c>
      <c r="V153" s="120">
        <f t="shared" si="381"/>
        <v>-4.7050995317801387</v>
      </c>
      <c r="W153" s="120">
        <f t="shared" si="381"/>
        <v>-4.7050995317801387</v>
      </c>
      <c r="X153" s="120">
        <f t="shared" si="381"/>
        <v>-4.7050995317801387</v>
      </c>
      <c r="Y153" s="120">
        <f t="shared" si="381"/>
        <v>-4.7050995317801387</v>
      </c>
      <c r="Z153" s="120">
        <f t="shared" si="381"/>
        <v>-4.7050995317801387</v>
      </c>
      <c r="AA153" s="120">
        <f t="shared" si="381"/>
        <v>-4.7050995317801387</v>
      </c>
      <c r="AB153" s="120">
        <f t="shared" si="381"/>
        <v>-4.7050995317801387</v>
      </c>
      <c r="AC153" s="120"/>
      <c r="AD153" s="120"/>
      <c r="AE153" s="120"/>
      <c r="AF153" s="120"/>
      <c r="AG153" s="428"/>
    </row>
    <row r="154" spans="3:44" hidden="1" outlineLevel="1" x14ac:dyDescent="0.35">
      <c r="C154" s="126" t="s">
        <v>256</v>
      </c>
      <c r="D154" s="438"/>
      <c r="E154" s="438"/>
      <c r="F154" s="439"/>
      <c r="G154" s="439"/>
      <c r="H154" s="120"/>
      <c r="I154" s="391"/>
      <c r="J154" s="120"/>
      <c r="K154" s="120">
        <f>PMT(J$21,20,J$52)</f>
        <v>-8.4019634496073916</v>
      </c>
      <c r="L154" s="120">
        <f>K154</f>
        <v>-8.4019634496073916</v>
      </c>
      <c r="M154" s="120">
        <f t="shared" ref="M154:AC154" si="382">L154</f>
        <v>-8.4019634496073916</v>
      </c>
      <c r="N154" s="120">
        <f t="shared" si="382"/>
        <v>-8.4019634496073916</v>
      </c>
      <c r="O154" s="391">
        <f t="shared" si="382"/>
        <v>-8.4019634496073916</v>
      </c>
      <c r="P154" s="120">
        <f t="shared" si="382"/>
        <v>-8.4019634496073916</v>
      </c>
      <c r="Q154" s="120">
        <f t="shared" si="382"/>
        <v>-8.4019634496073916</v>
      </c>
      <c r="R154" s="120">
        <f t="shared" si="382"/>
        <v>-8.4019634496073916</v>
      </c>
      <c r="S154" s="120">
        <f t="shared" si="382"/>
        <v>-8.4019634496073916</v>
      </c>
      <c r="T154" s="120">
        <f t="shared" si="382"/>
        <v>-8.4019634496073916</v>
      </c>
      <c r="U154" s="120">
        <f t="shared" si="382"/>
        <v>-8.4019634496073916</v>
      </c>
      <c r="V154" s="120">
        <f t="shared" si="382"/>
        <v>-8.4019634496073916</v>
      </c>
      <c r="W154" s="120">
        <f t="shared" si="382"/>
        <v>-8.4019634496073916</v>
      </c>
      <c r="X154" s="120">
        <f t="shared" si="382"/>
        <v>-8.4019634496073916</v>
      </c>
      <c r="Y154" s="120">
        <f t="shared" si="382"/>
        <v>-8.4019634496073916</v>
      </c>
      <c r="Z154" s="120">
        <f t="shared" si="382"/>
        <v>-8.4019634496073916</v>
      </c>
      <c r="AA154" s="120">
        <f t="shared" si="382"/>
        <v>-8.4019634496073916</v>
      </c>
      <c r="AB154" s="120">
        <f t="shared" si="382"/>
        <v>-8.4019634496073916</v>
      </c>
      <c r="AC154" s="120">
        <f t="shared" si="382"/>
        <v>-8.4019634496073916</v>
      </c>
      <c r="AD154" s="120"/>
      <c r="AE154" s="120"/>
      <c r="AF154" s="120"/>
      <c r="AG154" s="428"/>
    </row>
    <row r="155" spans="3:44" hidden="1" outlineLevel="1" x14ac:dyDescent="0.35">
      <c r="C155" s="126" t="s">
        <v>257</v>
      </c>
      <c r="D155" s="438"/>
      <c r="E155" s="438"/>
      <c r="F155" s="439"/>
      <c r="G155" s="439"/>
      <c r="H155" s="120"/>
      <c r="I155" s="391"/>
      <c r="J155" s="120"/>
      <c r="K155" s="120"/>
      <c r="L155" s="120">
        <f>PMT(K$21,20,K$52)</f>
        <v>0</v>
      </c>
      <c r="M155" s="120">
        <f>L155</f>
        <v>0</v>
      </c>
      <c r="N155" s="120">
        <f t="shared" ref="N155:AD155" si="383">M155</f>
        <v>0</v>
      </c>
      <c r="O155" s="391">
        <f t="shared" si="383"/>
        <v>0</v>
      </c>
      <c r="P155" s="120">
        <f t="shared" si="383"/>
        <v>0</v>
      </c>
      <c r="Q155" s="120">
        <f t="shared" si="383"/>
        <v>0</v>
      </c>
      <c r="R155" s="120">
        <f t="shared" si="383"/>
        <v>0</v>
      </c>
      <c r="S155" s="120">
        <f t="shared" si="383"/>
        <v>0</v>
      </c>
      <c r="T155" s="120">
        <f t="shared" si="383"/>
        <v>0</v>
      </c>
      <c r="U155" s="120">
        <f t="shared" si="383"/>
        <v>0</v>
      </c>
      <c r="V155" s="120">
        <f t="shared" si="383"/>
        <v>0</v>
      </c>
      <c r="W155" s="120">
        <f t="shared" si="383"/>
        <v>0</v>
      </c>
      <c r="X155" s="120">
        <f t="shared" si="383"/>
        <v>0</v>
      </c>
      <c r="Y155" s="120">
        <f t="shared" si="383"/>
        <v>0</v>
      </c>
      <c r="Z155" s="120">
        <f t="shared" si="383"/>
        <v>0</v>
      </c>
      <c r="AA155" s="120">
        <f t="shared" si="383"/>
        <v>0</v>
      </c>
      <c r="AB155" s="120">
        <f t="shared" si="383"/>
        <v>0</v>
      </c>
      <c r="AC155" s="120">
        <f t="shared" si="383"/>
        <v>0</v>
      </c>
      <c r="AD155" s="120">
        <f t="shared" si="383"/>
        <v>0</v>
      </c>
      <c r="AE155" s="120"/>
      <c r="AF155" s="120"/>
      <c r="AG155" s="428"/>
    </row>
    <row r="156" spans="3:44" hidden="1" outlineLevel="1" x14ac:dyDescent="0.35">
      <c r="C156" s="126" t="s">
        <v>258</v>
      </c>
      <c r="D156" s="438"/>
      <c r="E156" s="438"/>
      <c r="F156" s="439"/>
      <c r="G156" s="439"/>
      <c r="H156" s="120"/>
      <c r="I156" s="391"/>
      <c r="J156" s="120"/>
      <c r="K156" s="120"/>
      <c r="L156" s="120"/>
      <c r="M156" s="120">
        <f>PMT(L$21,20,L$52)</f>
        <v>-10.082356139528867</v>
      </c>
      <c r="N156" s="120">
        <f t="shared" ref="N156" si="384">M156</f>
        <v>-10.082356139528867</v>
      </c>
      <c r="O156" s="391">
        <f t="shared" ref="O156" si="385">N156</f>
        <v>-10.082356139528867</v>
      </c>
      <c r="P156" s="120">
        <f t="shared" ref="P156" si="386">O156</f>
        <v>-10.082356139528867</v>
      </c>
      <c r="Q156" s="120">
        <f t="shared" ref="Q156" si="387">P156</f>
        <v>-10.082356139528867</v>
      </c>
      <c r="R156" s="120">
        <f t="shared" ref="R156" si="388">Q156</f>
        <v>-10.082356139528867</v>
      </c>
      <c r="S156" s="120">
        <f t="shared" ref="S156" si="389">R156</f>
        <v>-10.082356139528867</v>
      </c>
      <c r="T156" s="120">
        <f t="shared" ref="T156" si="390">S156</f>
        <v>-10.082356139528867</v>
      </c>
      <c r="U156" s="120">
        <f t="shared" ref="U156" si="391">T156</f>
        <v>-10.082356139528867</v>
      </c>
      <c r="V156" s="120">
        <f t="shared" ref="V156" si="392">U156</f>
        <v>-10.082356139528867</v>
      </c>
      <c r="W156" s="120">
        <f t="shared" ref="W156" si="393">V156</f>
        <v>-10.082356139528867</v>
      </c>
      <c r="X156" s="120">
        <f t="shared" ref="X156" si="394">W156</f>
        <v>-10.082356139528867</v>
      </c>
      <c r="Y156" s="120">
        <f t="shared" ref="Y156:AE156" si="395">X156</f>
        <v>-10.082356139528867</v>
      </c>
      <c r="Z156" s="120">
        <f t="shared" si="395"/>
        <v>-10.082356139528867</v>
      </c>
      <c r="AA156" s="120">
        <f t="shared" si="395"/>
        <v>-10.082356139528867</v>
      </c>
      <c r="AB156" s="120">
        <f t="shared" si="395"/>
        <v>-10.082356139528867</v>
      </c>
      <c r="AC156" s="120">
        <f t="shared" si="395"/>
        <v>-10.082356139528867</v>
      </c>
      <c r="AD156" s="120">
        <f t="shared" si="395"/>
        <v>-10.082356139528867</v>
      </c>
      <c r="AE156" s="120">
        <f t="shared" si="395"/>
        <v>-10.082356139528867</v>
      </c>
      <c r="AF156" s="120"/>
      <c r="AG156" s="428"/>
    </row>
    <row r="157" spans="3:44" hidden="1" outlineLevel="1" x14ac:dyDescent="0.35">
      <c r="C157" s="126" t="s">
        <v>259</v>
      </c>
      <c r="D157" s="438"/>
      <c r="E157" s="438"/>
      <c r="F157" s="439"/>
      <c r="G157" s="439"/>
      <c r="H157" s="120"/>
      <c r="I157" s="391"/>
      <c r="J157" s="120"/>
      <c r="K157" s="120"/>
      <c r="L157" s="120"/>
      <c r="M157" s="120"/>
      <c r="N157" s="120">
        <f>PMT(M$21,20,M$52)</f>
        <v>0</v>
      </c>
      <c r="O157" s="391">
        <f t="shared" ref="O157" si="396">N157</f>
        <v>0</v>
      </c>
      <c r="P157" s="120">
        <f t="shared" ref="P157" si="397">O157</f>
        <v>0</v>
      </c>
      <c r="Q157" s="120">
        <f t="shared" ref="Q157" si="398">P157</f>
        <v>0</v>
      </c>
      <c r="R157" s="120">
        <f t="shared" ref="R157" si="399">Q157</f>
        <v>0</v>
      </c>
      <c r="S157" s="120">
        <f t="shared" ref="S157" si="400">R157</f>
        <v>0</v>
      </c>
      <c r="T157" s="120">
        <f t="shared" ref="T157" si="401">S157</f>
        <v>0</v>
      </c>
      <c r="U157" s="120">
        <f t="shared" ref="U157" si="402">T157</f>
        <v>0</v>
      </c>
      <c r="V157" s="120">
        <f t="shared" ref="V157" si="403">U157</f>
        <v>0</v>
      </c>
      <c r="W157" s="120">
        <f t="shared" ref="W157" si="404">V157</f>
        <v>0</v>
      </c>
      <c r="X157" s="120">
        <f t="shared" ref="X157" si="405">W157</f>
        <v>0</v>
      </c>
      <c r="Y157" s="120">
        <f t="shared" ref="Y157" si="406">X157</f>
        <v>0</v>
      </c>
      <c r="Z157" s="120">
        <f t="shared" ref="Z157" si="407">Y157</f>
        <v>0</v>
      </c>
      <c r="AA157" s="120">
        <f t="shared" ref="AA157" si="408">Z157</f>
        <v>0</v>
      </c>
      <c r="AB157" s="120">
        <f t="shared" ref="AB157" si="409">AA157</f>
        <v>0</v>
      </c>
      <c r="AC157" s="120">
        <f t="shared" ref="AC157:AD157" si="410">AB157</f>
        <v>0</v>
      </c>
      <c r="AD157" s="120">
        <f t="shared" si="410"/>
        <v>0</v>
      </c>
      <c r="AE157" s="120">
        <f t="shared" ref="AE157:AF157" si="411">AD157</f>
        <v>0</v>
      </c>
      <c r="AF157" s="120">
        <f t="shared" si="411"/>
        <v>0</v>
      </c>
      <c r="AG157" s="428"/>
    </row>
    <row r="158" spans="3:44" hidden="1" outlineLevel="1" x14ac:dyDescent="0.35">
      <c r="C158" s="126" t="s">
        <v>260</v>
      </c>
      <c r="D158" s="438"/>
      <c r="E158" s="438"/>
      <c r="F158" s="439"/>
      <c r="G158" s="439"/>
      <c r="H158" s="120"/>
      <c r="I158" s="391"/>
      <c r="J158" s="120"/>
      <c r="K158" s="120"/>
      <c r="L158" s="120"/>
      <c r="M158" s="120"/>
      <c r="N158" s="120"/>
      <c r="O158" s="391">
        <f>PMT(N$21,20,N$52)</f>
        <v>0</v>
      </c>
      <c r="P158" s="120">
        <f t="shared" ref="P158" si="412">O158</f>
        <v>0</v>
      </c>
      <c r="Q158" s="120">
        <f t="shared" ref="Q158" si="413">P158</f>
        <v>0</v>
      </c>
      <c r="R158" s="120">
        <f t="shared" ref="R158" si="414">Q158</f>
        <v>0</v>
      </c>
      <c r="S158" s="120">
        <f t="shared" ref="S158" si="415">R158</f>
        <v>0</v>
      </c>
      <c r="T158" s="120">
        <f t="shared" ref="T158" si="416">S158</f>
        <v>0</v>
      </c>
      <c r="U158" s="120">
        <f t="shared" ref="U158" si="417">T158</f>
        <v>0</v>
      </c>
      <c r="V158" s="120">
        <f t="shared" ref="V158" si="418">U158</f>
        <v>0</v>
      </c>
      <c r="W158" s="120">
        <f t="shared" ref="W158" si="419">V158</f>
        <v>0</v>
      </c>
      <c r="X158" s="120">
        <f t="shared" ref="X158" si="420">W158</f>
        <v>0</v>
      </c>
      <c r="Y158" s="120">
        <f t="shared" ref="Y158" si="421">X158</f>
        <v>0</v>
      </c>
      <c r="Z158" s="120">
        <f t="shared" ref="Z158" si="422">Y158</f>
        <v>0</v>
      </c>
      <c r="AA158" s="120">
        <f t="shared" ref="AA158" si="423">Z158</f>
        <v>0</v>
      </c>
      <c r="AB158" s="120">
        <f t="shared" ref="AB158" si="424">AA158</f>
        <v>0</v>
      </c>
      <c r="AC158" s="120">
        <f t="shared" ref="AC158:AD158" si="425">AB158</f>
        <v>0</v>
      </c>
      <c r="AD158" s="120">
        <f t="shared" si="425"/>
        <v>0</v>
      </c>
      <c r="AE158" s="120">
        <f t="shared" ref="AE158" si="426">AD158</f>
        <v>0</v>
      </c>
      <c r="AF158" s="120">
        <f t="shared" ref="AF158" si="427">AE158</f>
        <v>0</v>
      </c>
      <c r="AG158" s="428">
        <v>0</v>
      </c>
    </row>
    <row r="159" spans="3:44" hidden="1" outlineLevel="1" x14ac:dyDescent="0.35">
      <c r="C159" s="126" t="s">
        <v>261</v>
      </c>
      <c r="D159" s="438"/>
      <c r="E159" s="438"/>
      <c r="F159" s="439"/>
      <c r="G159" s="439"/>
      <c r="H159" s="120"/>
      <c r="I159" s="391"/>
      <c r="J159" s="120"/>
      <c r="K159" s="120"/>
      <c r="L159" s="120"/>
      <c r="M159" s="120"/>
      <c r="N159" s="120"/>
      <c r="O159" s="391"/>
      <c r="P159" s="120">
        <f>PMT(O$21,20,O$52)</f>
        <v>-20.164712279057735</v>
      </c>
      <c r="Q159" s="120">
        <f t="shared" ref="Q159" si="428">P159</f>
        <v>-20.164712279057735</v>
      </c>
      <c r="R159" s="120">
        <f t="shared" ref="R159" si="429">Q159</f>
        <v>-20.164712279057735</v>
      </c>
      <c r="S159" s="120">
        <f t="shared" ref="S159" si="430">R159</f>
        <v>-20.164712279057735</v>
      </c>
      <c r="T159" s="120">
        <f t="shared" ref="T159" si="431">S159</f>
        <v>-20.164712279057735</v>
      </c>
      <c r="U159" s="120">
        <f t="shared" ref="U159" si="432">T159</f>
        <v>-20.164712279057735</v>
      </c>
      <c r="V159" s="120">
        <f t="shared" ref="V159" si="433">U159</f>
        <v>-20.164712279057735</v>
      </c>
      <c r="W159" s="120">
        <f t="shared" ref="W159" si="434">V159</f>
        <v>-20.164712279057735</v>
      </c>
      <c r="X159" s="120">
        <f t="shared" ref="X159" si="435">W159</f>
        <v>-20.164712279057735</v>
      </c>
      <c r="Y159" s="120">
        <f t="shared" ref="Y159" si="436">X159</f>
        <v>-20.164712279057735</v>
      </c>
      <c r="Z159" s="120">
        <f t="shared" ref="Z159" si="437">Y159</f>
        <v>-20.164712279057735</v>
      </c>
      <c r="AA159" s="120">
        <f t="shared" ref="AA159" si="438">Z159</f>
        <v>-20.164712279057735</v>
      </c>
      <c r="AB159" s="120">
        <f t="shared" ref="AB159" si="439">AA159</f>
        <v>-20.164712279057735</v>
      </c>
      <c r="AC159" s="120">
        <f t="shared" ref="AC159:AD159" si="440">AB159</f>
        <v>-20.164712279057735</v>
      </c>
      <c r="AD159" s="120">
        <f t="shared" si="440"/>
        <v>-20.164712279057735</v>
      </c>
      <c r="AE159" s="120">
        <f t="shared" ref="AE159" si="441">AD159</f>
        <v>-20.164712279057735</v>
      </c>
      <c r="AF159" s="120">
        <f t="shared" ref="AF159" si="442">AE159</f>
        <v>-20.164712279057735</v>
      </c>
      <c r="AG159" s="428">
        <f t="shared" ref="AG159" si="443">AF159</f>
        <v>-20.164712279057735</v>
      </c>
    </row>
    <row r="160" spans="3:44" hidden="1" outlineLevel="1" x14ac:dyDescent="0.35">
      <c r="C160" s="126" t="s">
        <v>262</v>
      </c>
      <c r="D160" s="438"/>
      <c r="E160" s="438"/>
      <c r="F160" s="439"/>
      <c r="G160" s="439"/>
      <c r="H160" s="120"/>
      <c r="I160" s="391"/>
      <c r="J160" s="120"/>
      <c r="K160" s="120"/>
      <c r="L160" s="120"/>
      <c r="M160" s="120"/>
      <c r="N160" s="120"/>
      <c r="O160" s="391"/>
      <c r="P160" s="120"/>
      <c r="Q160" s="120">
        <f>PMT(P$21,20,P$52)</f>
        <v>0</v>
      </c>
      <c r="R160" s="120">
        <f t="shared" ref="R160" si="444">Q160</f>
        <v>0</v>
      </c>
      <c r="S160" s="120">
        <f t="shared" ref="S160" si="445">R160</f>
        <v>0</v>
      </c>
      <c r="T160" s="120">
        <f t="shared" ref="T160" si="446">S160</f>
        <v>0</v>
      </c>
      <c r="U160" s="120">
        <f t="shared" ref="U160" si="447">T160</f>
        <v>0</v>
      </c>
      <c r="V160" s="120">
        <f t="shared" ref="V160" si="448">U160</f>
        <v>0</v>
      </c>
      <c r="W160" s="120">
        <f t="shared" ref="W160" si="449">V160</f>
        <v>0</v>
      </c>
      <c r="X160" s="120">
        <f t="shared" ref="X160" si="450">W160</f>
        <v>0</v>
      </c>
      <c r="Y160" s="120">
        <f t="shared" ref="Y160" si="451">X160</f>
        <v>0</v>
      </c>
      <c r="Z160" s="120">
        <f t="shared" ref="Z160" si="452">Y160</f>
        <v>0</v>
      </c>
      <c r="AA160" s="120">
        <f t="shared" ref="AA160" si="453">Z160</f>
        <v>0</v>
      </c>
      <c r="AB160" s="120">
        <f t="shared" ref="AB160" si="454">AA160</f>
        <v>0</v>
      </c>
      <c r="AC160" s="120">
        <f t="shared" ref="AC160:AD160" si="455">AB160</f>
        <v>0</v>
      </c>
      <c r="AD160" s="120">
        <f t="shared" si="455"/>
        <v>0</v>
      </c>
      <c r="AE160" s="120">
        <f t="shared" ref="AE160" si="456">AD160</f>
        <v>0</v>
      </c>
      <c r="AF160" s="120">
        <f t="shared" ref="AF160" si="457">AE160</f>
        <v>0</v>
      </c>
      <c r="AG160" s="428">
        <f t="shared" ref="AG160" si="458">AF160</f>
        <v>0</v>
      </c>
    </row>
    <row r="161" spans="3:33" hidden="1" outlineLevel="1" x14ac:dyDescent="0.35">
      <c r="C161" s="126" t="s">
        <v>263</v>
      </c>
      <c r="D161" s="438"/>
      <c r="E161" s="438"/>
      <c r="F161" s="439"/>
      <c r="G161" s="439"/>
      <c r="H161" s="120"/>
      <c r="I161" s="391"/>
      <c r="J161" s="120"/>
      <c r="K161" s="120"/>
      <c r="L161" s="120"/>
      <c r="M161" s="120"/>
      <c r="N161" s="120"/>
      <c r="O161" s="391"/>
      <c r="P161" s="120"/>
      <c r="Q161" s="120"/>
      <c r="R161" s="120">
        <f>PMT(Q$21,20,Q$52)</f>
        <v>0</v>
      </c>
      <c r="S161" s="120">
        <f t="shared" ref="S161" si="459">R161</f>
        <v>0</v>
      </c>
      <c r="T161" s="120">
        <f t="shared" ref="T161" si="460">S161</f>
        <v>0</v>
      </c>
      <c r="U161" s="120">
        <f t="shared" ref="U161" si="461">T161</f>
        <v>0</v>
      </c>
      <c r="V161" s="120">
        <f t="shared" ref="V161" si="462">U161</f>
        <v>0</v>
      </c>
      <c r="W161" s="120">
        <f t="shared" ref="W161" si="463">V161</f>
        <v>0</v>
      </c>
      <c r="X161" s="120">
        <f t="shared" ref="X161" si="464">W161</f>
        <v>0</v>
      </c>
      <c r="Y161" s="120">
        <f t="shared" ref="Y161" si="465">X161</f>
        <v>0</v>
      </c>
      <c r="Z161" s="120">
        <f t="shared" ref="Z161" si="466">Y161</f>
        <v>0</v>
      </c>
      <c r="AA161" s="120">
        <f t="shared" ref="AA161" si="467">Z161</f>
        <v>0</v>
      </c>
      <c r="AB161" s="120">
        <f t="shared" ref="AB161" si="468">AA161</f>
        <v>0</v>
      </c>
      <c r="AC161" s="120">
        <f t="shared" ref="AC161:AD161" si="469">AB161</f>
        <v>0</v>
      </c>
      <c r="AD161" s="120">
        <f t="shared" si="469"/>
        <v>0</v>
      </c>
      <c r="AE161" s="120">
        <f t="shared" ref="AE161" si="470">AD161</f>
        <v>0</v>
      </c>
      <c r="AF161" s="120">
        <f t="shared" ref="AF161" si="471">AE161</f>
        <v>0</v>
      </c>
      <c r="AG161" s="428">
        <f t="shared" ref="AG161" si="472">AF161</f>
        <v>0</v>
      </c>
    </row>
    <row r="162" spans="3:33" hidden="1" outlineLevel="1" x14ac:dyDescent="0.35">
      <c r="C162" s="126" t="s">
        <v>264</v>
      </c>
      <c r="D162" s="438"/>
      <c r="E162" s="438"/>
      <c r="F162" s="439"/>
      <c r="G162" s="439"/>
      <c r="H162" s="120"/>
      <c r="I162" s="391"/>
      <c r="J162" s="120"/>
      <c r="K162" s="120"/>
      <c r="L162" s="120"/>
      <c r="M162" s="120"/>
      <c r="N162" s="120"/>
      <c r="O162" s="391"/>
      <c r="P162" s="120"/>
      <c r="Q162" s="120"/>
      <c r="R162" s="120"/>
      <c r="S162" s="120">
        <f>PMT(R$21,20,R$52)</f>
        <v>-25.658851493789783</v>
      </c>
      <c r="T162" s="120">
        <f t="shared" ref="T162" si="473">S162</f>
        <v>-25.658851493789783</v>
      </c>
      <c r="U162" s="120">
        <f t="shared" ref="U162" si="474">T162</f>
        <v>-25.658851493789783</v>
      </c>
      <c r="V162" s="120">
        <f t="shared" ref="V162" si="475">U162</f>
        <v>-25.658851493789783</v>
      </c>
      <c r="W162" s="120">
        <f t="shared" ref="W162" si="476">V162</f>
        <v>-25.658851493789783</v>
      </c>
      <c r="X162" s="120">
        <f t="shared" ref="X162" si="477">W162</f>
        <v>-25.658851493789783</v>
      </c>
      <c r="Y162" s="120">
        <f t="shared" ref="Y162" si="478">X162</f>
        <v>-25.658851493789783</v>
      </c>
      <c r="Z162" s="120">
        <f t="shared" ref="Z162" si="479">Y162</f>
        <v>-25.658851493789783</v>
      </c>
      <c r="AA162" s="120">
        <f t="shared" ref="AA162" si="480">Z162</f>
        <v>-25.658851493789783</v>
      </c>
      <c r="AB162" s="120">
        <f t="shared" ref="AB162" si="481">AA162</f>
        <v>-25.658851493789783</v>
      </c>
      <c r="AC162" s="120">
        <f t="shared" ref="AC162:AD162" si="482">AB162</f>
        <v>-25.658851493789783</v>
      </c>
      <c r="AD162" s="120">
        <f t="shared" si="482"/>
        <v>-25.658851493789783</v>
      </c>
      <c r="AE162" s="120">
        <f t="shared" ref="AE162" si="483">AD162</f>
        <v>-25.658851493789783</v>
      </c>
      <c r="AF162" s="120">
        <f t="shared" ref="AF162" si="484">AE162</f>
        <v>-25.658851493789783</v>
      </c>
      <c r="AG162" s="428">
        <f t="shared" ref="AG162" si="485">AF162</f>
        <v>-25.658851493789783</v>
      </c>
    </row>
    <row r="163" spans="3:33" hidden="1" outlineLevel="1" x14ac:dyDescent="0.35">
      <c r="C163" s="126" t="s">
        <v>265</v>
      </c>
      <c r="D163" s="438"/>
      <c r="E163" s="438"/>
      <c r="F163" s="439"/>
      <c r="G163" s="439"/>
      <c r="H163" s="120"/>
      <c r="I163" s="391"/>
      <c r="J163" s="120"/>
      <c r="K163" s="120"/>
      <c r="L163" s="120"/>
      <c r="M163" s="120"/>
      <c r="N163" s="120"/>
      <c r="O163" s="391"/>
      <c r="P163" s="120"/>
      <c r="Q163" s="120"/>
      <c r="R163" s="120"/>
      <c r="S163" s="120"/>
      <c r="T163" s="120">
        <f>PMT(S$21,20,S$52)</f>
        <v>0</v>
      </c>
      <c r="U163" s="120">
        <f t="shared" ref="U163" si="486">T163</f>
        <v>0</v>
      </c>
      <c r="V163" s="120">
        <f t="shared" ref="V163" si="487">U163</f>
        <v>0</v>
      </c>
      <c r="W163" s="120">
        <f t="shared" ref="W163" si="488">V163</f>
        <v>0</v>
      </c>
      <c r="X163" s="120">
        <f t="shared" ref="X163" si="489">W163</f>
        <v>0</v>
      </c>
      <c r="Y163" s="120">
        <f t="shared" ref="Y163" si="490">X163</f>
        <v>0</v>
      </c>
      <c r="Z163" s="120">
        <f t="shared" ref="Z163" si="491">Y163</f>
        <v>0</v>
      </c>
      <c r="AA163" s="120">
        <f t="shared" ref="AA163" si="492">Z163</f>
        <v>0</v>
      </c>
      <c r="AB163" s="120">
        <f t="shared" ref="AB163" si="493">AA163</f>
        <v>0</v>
      </c>
      <c r="AC163" s="120">
        <f t="shared" ref="AC163:AD163" si="494">AB163</f>
        <v>0</v>
      </c>
      <c r="AD163" s="120">
        <f t="shared" si="494"/>
        <v>0</v>
      </c>
      <c r="AE163" s="120">
        <f t="shared" ref="AE163" si="495">AD163</f>
        <v>0</v>
      </c>
      <c r="AF163" s="120">
        <f t="shared" ref="AF163" si="496">AE163</f>
        <v>0</v>
      </c>
      <c r="AG163" s="428">
        <f t="shared" ref="AG163" si="497">AF163</f>
        <v>0</v>
      </c>
    </row>
    <row r="164" spans="3:33" hidden="1" outlineLevel="1" x14ac:dyDescent="0.35">
      <c r="C164" s="126" t="s">
        <v>266</v>
      </c>
      <c r="D164" s="438"/>
      <c r="E164" s="438"/>
      <c r="F164" s="439"/>
      <c r="G164" s="439"/>
      <c r="H164" s="120"/>
      <c r="I164" s="391"/>
      <c r="J164" s="120"/>
      <c r="K164" s="120"/>
      <c r="L164" s="120"/>
      <c r="M164" s="120"/>
      <c r="N164" s="120"/>
      <c r="O164" s="391"/>
      <c r="P164" s="120"/>
      <c r="Q164" s="120"/>
      <c r="R164" s="120"/>
      <c r="S164" s="120"/>
      <c r="T164" s="120"/>
      <c r="U164" s="120">
        <f>PMT(T$21,20,T$52)</f>
        <v>0</v>
      </c>
      <c r="V164" s="120">
        <f t="shared" ref="V164" si="498">U164</f>
        <v>0</v>
      </c>
      <c r="W164" s="120">
        <f t="shared" ref="W164" si="499">V164</f>
        <v>0</v>
      </c>
      <c r="X164" s="120">
        <f t="shared" ref="X164" si="500">W164</f>
        <v>0</v>
      </c>
      <c r="Y164" s="120">
        <f t="shared" ref="Y164" si="501">X164</f>
        <v>0</v>
      </c>
      <c r="Z164" s="120">
        <f t="shared" ref="Z164" si="502">Y164</f>
        <v>0</v>
      </c>
      <c r="AA164" s="120">
        <f t="shared" ref="AA164" si="503">Z164</f>
        <v>0</v>
      </c>
      <c r="AB164" s="120">
        <f t="shared" ref="AB164" si="504">AA164</f>
        <v>0</v>
      </c>
      <c r="AC164" s="120">
        <f t="shared" ref="AC164:AD164" si="505">AB164</f>
        <v>0</v>
      </c>
      <c r="AD164" s="120">
        <f t="shared" si="505"/>
        <v>0</v>
      </c>
      <c r="AE164" s="120">
        <f t="shared" ref="AE164" si="506">AD164</f>
        <v>0</v>
      </c>
      <c r="AF164" s="120">
        <f t="shared" ref="AF164" si="507">AE164</f>
        <v>0</v>
      </c>
      <c r="AG164" s="428">
        <f t="shared" ref="AG164" si="508">AF164</f>
        <v>0</v>
      </c>
    </row>
    <row r="165" spans="3:33" hidden="1" outlineLevel="1" x14ac:dyDescent="0.35">
      <c r="C165" s="126" t="s">
        <v>267</v>
      </c>
      <c r="D165" s="438"/>
      <c r="E165" s="438"/>
      <c r="F165" s="439"/>
      <c r="G165" s="439"/>
      <c r="H165" s="120"/>
      <c r="I165" s="391"/>
      <c r="J165" s="120"/>
      <c r="K165" s="120"/>
      <c r="L165" s="120"/>
      <c r="M165" s="120"/>
      <c r="N165" s="120"/>
      <c r="O165" s="391"/>
      <c r="P165" s="120"/>
      <c r="Q165" s="120"/>
      <c r="R165" s="120"/>
      <c r="S165" s="120"/>
      <c r="T165" s="120"/>
      <c r="U165" s="120"/>
      <c r="V165" s="120">
        <f>PMT(U$21,20,U$52)</f>
        <v>0</v>
      </c>
      <c r="W165" s="120">
        <f t="shared" ref="W165" si="509">V165</f>
        <v>0</v>
      </c>
      <c r="X165" s="120">
        <f t="shared" ref="X165" si="510">W165</f>
        <v>0</v>
      </c>
      <c r="Y165" s="120">
        <f t="shared" ref="Y165" si="511">X165</f>
        <v>0</v>
      </c>
      <c r="Z165" s="120">
        <f t="shared" ref="Z165" si="512">Y165</f>
        <v>0</v>
      </c>
      <c r="AA165" s="120">
        <f t="shared" ref="AA165" si="513">Z165</f>
        <v>0</v>
      </c>
      <c r="AB165" s="120">
        <f t="shared" ref="AB165" si="514">AA165</f>
        <v>0</v>
      </c>
      <c r="AC165" s="120">
        <f t="shared" ref="AC165:AD165" si="515">AB165</f>
        <v>0</v>
      </c>
      <c r="AD165" s="120">
        <f t="shared" si="515"/>
        <v>0</v>
      </c>
      <c r="AE165" s="120">
        <f t="shared" ref="AE165" si="516">AD165</f>
        <v>0</v>
      </c>
      <c r="AF165" s="120">
        <f t="shared" ref="AF165" si="517">AE165</f>
        <v>0</v>
      </c>
      <c r="AG165" s="428">
        <f t="shared" ref="AG165" si="518">AF165</f>
        <v>0</v>
      </c>
    </row>
    <row r="166" spans="3:33" hidden="1" outlineLevel="1" x14ac:dyDescent="0.35">
      <c r="C166" s="126" t="s">
        <v>268</v>
      </c>
      <c r="D166" s="438"/>
      <c r="E166" s="438"/>
      <c r="F166" s="439"/>
      <c r="G166" s="439"/>
      <c r="H166" s="120"/>
      <c r="I166" s="391"/>
      <c r="J166" s="120"/>
      <c r="K166" s="120"/>
      <c r="L166" s="120"/>
      <c r="M166" s="120"/>
      <c r="N166" s="120"/>
      <c r="O166" s="391"/>
      <c r="P166" s="120"/>
      <c r="Q166" s="120"/>
      <c r="R166" s="120"/>
      <c r="S166" s="120"/>
      <c r="T166" s="120"/>
      <c r="U166" s="120"/>
      <c r="V166" s="120"/>
      <c r="W166" s="120">
        <f>PMT(V$21,20,V$52)</f>
        <v>-22.451495057066058</v>
      </c>
      <c r="X166" s="120">
        <f t="shared" ref="X166" si="519">W166</f>
        <v>-22.451495057066058</v>
      </c>
      <c r="Y166" s="120">
        <f t="shared" ref="Y166" si="520">X166</f>
        <v>-22.451495057066058</v>
      </c>
      <c r="Z166" s="120">
        <f t="shared" ref="Z166" si="521">Y166</f>
        <v>-22.451495057066058</v>
      </c>
      <c r="AA166" s="120">
        <f t="shared" ref="AA166" si="522">Z166</f>
        <v>-22.451495057066058</v>
      </c>
      <c r="AB166" s="120">
        <f t="shared" ref="AB166" si="523">AA166</f>
        <v>-22.451495057066058</v>
      </c>
      <c r="AC166" s="120">
        <f t="shared" ref="AC166:AD166" si="524">AB166</f>
        <v>-22.451495057066058</v>
      </c>
      <c r="AD166" s="120">
        <f t="shared" si="524"/>
        <v>-22.451495057066058</v>
      </c>
      <c r="AE166" s="120">
        <f t="shared" ref="AE166" si="525">AD166</f>
        <v>-22.451495057066058</v>
      </c>
      <c r="AF166" s="120">
        <f t="shared" ref="AF166" si="526">AE166</f>
        <v>-22.451495057066058</v>
      </c>
      <c r="AG166" s="428">
        <f t="shared" ref="AG166" si="527">AF166</f>
        <v>-22.451495057066058</v>
      </c>
    </row>
    <row r="167" spans="3:33" hidden="1" outlineLevel="1" x14ac:dyDescent="0.35">
      <c r="C167" s="126" t="s">
        <v>269</v>
      </c>
      <c r="D167" s="438"/>
      <c r="E167" s="438"/>
      <c r="F167" s="439"/>
      <c r="G167" s="439"/>
      <c r="H167" s="120"/>
      <c r="I167" s="391"/>
      <c r="J167" s="120"/>
      <c r="K167" s="120"/>
      <c r="L167" s="120"/>
      <c r="M167" s="120"/>
      <c r="N167" s="120"/>
      <c r="O167" s="391"/>
      <c r="P167" s="120"/>
      <c r="Q167" s="120"/>
      <c r="R167" s="120"/>
      <c r="S167" s="120"/>
      <c r="T167" s="120"/>
      <c r="U167" s="120"/>
      <c r="V167" s="120"/>
      <c r="W167" s="120"/>
      <c r="X167" s="120">
        <f>PMT(W$21,20,W$52)</f>
        <v>0</v>
      </c>
      <c r="Y167" s="120">
        <f t="shared" ref="Y167" si="528">X167</f>
        <v>0</v>
      </c>
      <c r="Z167" s="120">
        <f t="shared" ref="Z167" si="529">Y167</f>
        <v>0</v>
      </c>
      <c r="AA167" s="120">
        <f t="shared" ref="AA167" si="530">Z167</f>
        <v>0</v>
      </c>
      <c r="AB167" s="120">
        <f t="shared" ref="AB167" si="531">AA167</f>
        <v>0</v>
      </c>
      <c r="AC167" s="120">
        <f t="shared" ref="AC167:AD167" si="532">AB167</f>
        <v>0</v>
      </c>
      <c r="AD167" s="120">
        <f t="shared" si="532"/>
        <v>0</v>
      </c>
      <c r="AE167" s="120">
        <f t="shared" ref="AE167" si="533">AD167</f>
        <v>0</v>
      </c>
      <c r="AF167" s="120">
        <f t="shared" ref="AF167" si="534">AE167</f>
        <v>0</v>
      </c>
      <c r="AG167" s="428">
        <f t="shared" ref="AG167" si="535">AF167</f>
        <v>0</v>
      </c>
    </row>
    <row r="168" spans="3:33" hidden="1" outlineLevel="1" x14ac:dyDescent="0.35">
      <c r="C168" s="126" t="s">
        <v>270</v>
      </c>
      <c r="D168" s="438"/>
      <c r="E168" s="438"/>
      <c r="F168" s="439"/>
      <c r="G168" s="439"/>
      <c r="H168" s="120"/>
      <c r="I168" s="391"/>
      <c r="J168" s="120"/>
      <c r="K168" s="120"/>
      <c r="L168" s="120"/>
      <c r="M168" s="120"/>
      <c r="N168" s="120"/>
      <c r="O168" s="391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>
        <f>PMT(X$21,20,X$52)</f>
        <v>0</v>
      </c>
      <c r="Z168" s="120">
        <f t="shared" ref="Z168" si="536">Y168</f>
        <v>0</v>
      </c>
      <c r="AA168" s="120">
        <f t="shared" ref="AA168" si="537">Z168</f>
        <v>0</v>
      </c>
      <c r="AB168" s="120">
        <f t="shared" ref="AB168" si="538">AA168</f>
        <v>0</v>
      </c>
      <c r="AC168" s="120">
        <f t="shared" ref="AC168:AD168" si="539">AB168</f>
        <v>0</v>
      </c>
      <c r="AD168" s="120">
        <f t="shared" si="539"/>
        <v>0</v>
      </c>
      <c r="AE168" s="120">
        <f t="shared" ref="AE168" si="540">AD168</f>
        <v>0</v>
      </c>
      <c r="AF168" s="120">
        <f t="shared" ref="AF168" si="541">AE168</f>
        <v>0</v>
      </c>
      <c r="AG168" s="428">
        <f t="shared" ref="AG168" si="542">AF168</f>
        <v>0</v>
      </c>
    </row>
    <row r="169" spans="3:33" hidden="1" outlineLevel="1" x14ac:dyDescent="0.35">
      <c r="C169" s="126" t="s">
        <v>271</v>
      </c>
      <c r="D169" s="438"/>
      <c r="E169" s="438"/>
      <c r="F169" s="439"/>
      <c r="G169" s="439"/>
      <c r="H169" s="120"/>
      <c r="I169" s="391"/>
      <c r="J169" s="120"/>
      <c r="K169" s="120"/>
      <c r="L169" s="120"/>
      <c r="M169" s="120"/>
      <c r="N169" s="120"/>
      <c r="O169" s="391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>
        <f>PMT(Y$21,20,Y$52)</f>
        <v>0</v>
      </c>
      <c r="AA169" s="120">
        <f t="shared" ref="AA169" si="543">Z169</f>
        <v>0</v>
      </c>
      <c r="AB169" s="120">
        <f t="shared" ref="AB169" si="544">AA169</f>
        <v>0</v>
      </c>
      <c r="AC169" s="120">
        <f t="shared" ref="AC169:AD169" si="545">AB169</f>
        <v>0</v>
      </c>
      <c r="AD169" s="120">
        <f t="shared" si="545"/>
        <v>0</v>
      </c>
      <c r="AE169" s="120">
        <f t="shared" ref="AE169" si="546">AD169</f>
        <v>0</v>
      </c>
      <c r="AF169" s="120">
        <f t="shared" ref="AF169" si="547">AE169</f>
        <v>0</v>
      </c>
      <c r="AG169" s="428">
        <f t="shared" ref="AG169" si="548">AF169</f>
        <v>0</v>
      </c>
    </row>
    <row r="170" spans="3:33" hidden="1" outlineLevel="1" x14ac:dyDescent="0.35">
      <c r="C170" s="126" t="s">
        <v>272</v>
      </c>
      <c r="D170" s="438"/>
      <c r="E170" s="438"/>
      <c r="F170" s="439"/>
      <c r="G170" s="439"/>
      <c r="H170" s="120"/>
      <c r="I170" s="391"/>
      <c r="J170" s="120"/>
      <c r="K170" s="120"/>
      <c r="L170" s="120"/>
      <c r="M170" s="120"/>
      <c r="N170" s="120"/>
      <c r="O170" s="391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>
        <f>PMT(Z$21,20,Z$52)</f>
        <v>-25.658851493789783</v>
      </c>
      <c r="AB170" s="120">
        <f t="shared" ref="AB170" si="549">AA170</f>
        <v>-25.658851493789783</v>
      </c>
      <c r="AC170" s="120">
        <f t="shared" ref="AC170:AD170" si="550">AB170</f>
        <v>-25.658851493789783</v>
      </c>
      <c r="AD170" s="120">
        <f t="shared" si="550"/>
        <v>-25.658851493789783</v>
      </c>
      <c r="AE170" s="120">
        <f t="shared" ref="AE170" si="551">AD170</f>
        <v>-25.658851493789783</v>
      </c>
      <c r="AF170" s="120">
        <f t="shared" ref="AF170" si="552">AE170</f>
        <v>-25.658851493789783</v>
      </c>
      <c r="AG170" s="428">
        <f t="shared" ref="AG170" si="553">AF170</f>
        <v>-25.658851493789783</v>
      </c>
    </row>
    <row r="171" spans="3:33" hidden="1" outlineLevel="1" x14ac:dyDescent="0.35">
      <c r="C171" s="126" t="s">
        <v>273</v>
      </c>
      <c r="D171" s="438"/>
      <c r="E171" s="438"/>
      <c r="F171" s="439"/>
      <c r="G171" s="439"/>
      <c r="H171" s="120"/>
      <c r="I171" s="391"/>
      <c r="J171" s="120"/>
      <c r="K171" s="120"/>
      <c r="L171" s="120"/>
      <c r="M171" s="120"/>
      <c r="N171" s="120"/>
      <c r="O171" s="391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>
        <f>PMT(AA$21,20,AA$52)</f>
        <v>0</v>
      </c>
      <c r="AC171" s="120">
        <f t="shared" ref="AC171:AD171" si="554">AB171</f>
        <v>0</v>
      </c>
      <c r="AD171" s="120">
        <f t="shared" si="554"/>
        <v>0</v>
      </c>
      <c r="AE171" s="120">
        <f t="shared" ref="AE171" si="555">AD171</f>
        <v>0</v>
      </c>
      <c r="AF171" s="120">
        <f t="shared" ref="AF171" si="556">AE171</f>
        <v>0</v>
      </c>
      <c r="AG171" s="428">
        <f t="shared" ref="AG171" si="557">AF171</f>
        <v>0</v>
      </c>
    </row>
    <row r="172" spans="3:33" hidden="1" outlineLevel="1" x14ac:dyDescent="0.35">
      <c r="C172" s="126" t="s">
        <v>274</v>
      </c>
      <c r="D172" s="438"/>
      <c r="E172" s="438"/>
      <c r="F172" s="439"/>
      <c r="G172" s="439"/>
      <c r="H172" s="120"/>
      <c r="I172" s="391"/>
      <c r="J172" s="120"/>
      <c r="K172" s="120"/>
      <c r="L172" s="120"/>
      <c r="M172" s="120"/>
      <c r="N172" s="120"/>
      <c r="O172" s="391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>
        <f>PMT(AB$21,20,AB$52)</f>
        <v>0</v>
      </c>
      <c r="AD172" s="120">
        <f t="shared" ref="AD172" si="558">AC172</f>
        <v>0</v>
      </c>
      <c r="AE172" s="120">
        <f t="shared" ref="AE172" si="559">AD172</f>
        <v>0</v>
      </c>
      <c r="AF172" s="120">
        <f t="shared" ref="AF172" si="560">AE172</f>
        <v>0</v>
      </c>
      <c r="AG172" s="428">
        <f t="shared" ref="AG172" si="561">AF172</f>
        <v>0</v>
      </c>
    </row>
    <row r="173" spans="3:33" hidden="1" outlineLevel="1" x14ac:dyDescent="0.35">
      <c r="C173" s="126" t="s">
        <v>275</v>
      </c>
      <c r="D173" s="438"/>
      <c r="E173" s="438"/>
      <c r="F173" s="439"/>
      <c r="G173" s="439"/>
      <c r="H173" s="120"/>
      <c r="I173" s="391"/>
      <c r="J173" s="120"/>
      <c r="K173" s="120"/>
      <c r="L173" s="120"/>
      <c r="M173" s="120"/>
      <c r="N173" s="120"/>
      <c r="O173" s="391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>
        <f>PMT(AC$21,20,AC$52)</f>
        <v>0</v>
      </c>
      <c r="AE173" s="120">
        <f t="shared" ref="AE173" si="562">AD173</f>
        <v>0</v>
      </c>
      <c r="AF173" s="120">
        <f t="shared" ref="AF173" si="563">AE173</f>
        <v>0</v>
      </c>
      <c r="AG173" s="428">
        <f t="shared" ref="AG173" si="564">AF173</f>
        <v>0</v>
      </c>
    </row>
    <row r="174" spans="3:33" hidden="1" outlineLevel="1" x14ac:dyDescent="0.35">
      <c r="C174" s="126" t="s">
        <v>276</v>
      </c>
      <c r="D174" s="438"/>
      <c r="E174" s="438"/>
      <c r="F174" s="439"/>
      <c r="G174" s="439"/>
      <c r="H174" s="120"/>
      <c r="I174" s="391"/>
      <c r="J174" s="120"/>
      <c r="K174" s="120"/>
      <c r="L174" s="120"/>
      <c r="M174" s="120"/>
      <c r="N174" s="120"/>
      <c r="O174" s="391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>
        <f>PMT(AD$21,20,AD$52)</f>
        <v>0</v>
      </c>
      <c r="AF174" s="120">
        <f t="shared" ref="AF174" si="565">AE174</f>
        <v>0</v>
      </c>
      <c r="AG174" s="428">
        <f t="shared" ref="AG174" si="566">AF174</f>
        <v>0</v>
      </c>
    </row>
    <row r="175" spans="3:33" hidden="1" outlineLevel="1" x14ac:dyDescent="0.35">
      <c r="C175" s="126" t="s">
        <v>277</v>
      </c>
      <c r="D175" s="438"/>
      <c r="E175" s="438"/>
      <c r="F175" s="439"/>
      <c r="G175" s="439"/>
      <c r="H175" s="120"/>
      <c r="I175" s="391"/>
      <c r="J175" s="120"/>
      <c r="K175" s="120"/>
      <c r="L175" s="120"/>
      <c r="M175" s="120"/>
      <c r="N175" s="120"/>
      <c r="O175" s="391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>
        <f>PMT(AE$21,20,AE$52)</f>
        <v>0</v>
      </c>
      <c r="AG175" s="428">
        <f t="shared" ref="AG175" si="567">AF175</f>
        <v>0</v>
      </c>
    </row>
    <row r="176" spans="3:33" hidden="1" outlineLevel="1" x14ac:dyDescent="0.35">
      <c r="C176" s="126" t="s">
        <v>278</v>
      </c>
      <c r="D176" s="438"/>
      <c r="E176" s="438"/>
      <c r="F176" s="439"/>
      <c r="G176" s="439"/>
      <c r="H176" s="120"/>
      <c r="I176" s="391"/>
      <c r="J176" s="120"/>
      <c r="K176" s="120"/>
      <c r="L176" s="120"/>
      <c r="M176" s="120"/>
      <c r="N176" s="120"/>
      <c r="O176" s="391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428">
        <f>PMT(AF$21,20,AF$52)</f>
        <v>0</v>
      </c>
    </row>
    <row r="177" spans="1:38" hidden="1" outlineLevel="1" collapsed="1" x14ac:dyDescent="0.35">
      <c r="C177" s="437" t="s">
        <v>283</v>
      </c>
      <c r="D177" s="438"/>
      <c r="E177" s="438"/>
      <c r="F177" s="439"/>
      <c r="G177" s="439"/>
      <c r="H177" s="120"/>
      <c r="I177" s="391">
        <f>SUM(I152:I176)</f>
        <v>-2.1108323034907861</v>
      </c>
      <c r="J177" s="120">
        <f t="shared" ref="J177:AG177" si="568">SUM(J152:J176)</f>
        <v>-6.8159318352709253</v>
      </c>
      <c r="K177" s="120">
        <f t="shared" si="568"/>
        <v>-15.217895284878317</v>
      </c>
      <c r="L177" s="120">
        <f t="shared" si="568"/>
        <v>-15.217895284878317</v>
      </c>
      <c r="M177" s="120">
        <f t="shared" si="568"/>
        <v>-25.300251424407186</v>
      </c>
      <c r="N177" s="120">
        <f t="shared" si="568"/>
        <v>-25.300251424407186</v>
      </c>
      <c r="O177" s="391">
        <f t="shared" si="568"/>
        <v>-25.300251424407186</v>
      </c>
      <c r="P177" s="120">
        <f t="shared" si="568"/>
        <v>-45.464963703464917</v>
      </c>
      <c r="Q177" s="120">
        <f t="shared" si="568"/>
        <v>-45.464963703464917</v>
      </c>
      <c r="R177" s="120">
        <f t="shared" si="568"/>
        <v>-45.464963703464917</v>
      </c>
      <c r="S177" s="120">
        <f t="shared" si="568"/>
        <v>-71.1238151972547</v>
      </c>
      <c r="T177" s="120">
        <f t="shared" si="568"/>
        <v>-71.1238151972547</v>
      </c>
      <c r="U177" s="120">
        <f t="shared" si="568"/>
        <v>-71.1238151972547</v>
      </c>
      <c r="V177" s="120">
        <f t="shared" si="568"/>
        <v>-71.1238151972547</v>
      </c>
      <c r="W177" s="120">
        <f t="shared" si="568"/>
        <v>-93.575310254320755</v>
      </c>
      <c r="X177" s="120">
        <f t="shared" si="568"/>
        <v>-93.575310254320755</v>
      </c>
      <c r="Y177" s="120">
        <f t="shared" si="568"/>
        <v>-93.575310254320755</v>
      </c>
      <c r="Z177" s="120">
        <f t="shared" si="568"/>
        <v>-93.575310254320755</v>
      </c>
      <c r="AA177" s="120">
        <f t="shared" si="568"/>
        <v>-119.23416174811054</v>
      </c>
      <c r="AB177" s="120">
        <f t="shared" si="568"/>
        <v>-119.23416174811054</v>
      </c>
      <c r="AC177" s="120">
        <f t="shared" si="568"/>
        <v>-114.5290622163304</v>
      </c>
      <c r="AD177" s="120">
        <f t="shared" si="568"/>
        <v>-106.12709876672301</v>
      </c>
      <c r="AE177" s="120">
        <f t="shared" si="568"/>
        <v>-106.12709876672301</v>
      </c>
      <c r="AF177" s="120">
        <f t="shared" si="568"/>
        <v>-96.04474262719414</v>
      </c>
      <c r="AG177" s="428">
        <f t="shared" si="568"/>
        <v>-96.04474262719414</v>
      </c>
    </row>
    <row r="178" spans="1:38" hidden="1" outlineLevel="2" x14ac:dyDescent="0.35">
      <c r="C178" s="291" t="s">
        <v>281</v>
      </c>
      <c r="D178" s="438"/>
      <c r="E178" s="438"/>
      <c r="F178" s="439"/>
      <c r="G178" s="439"/>
      <c r="H178" s="120"/>
      <c r="I178" s="120"/>
      <c r="J178" s="120"/>
      <c r="K178" s="120"/>
      <c r="L178" s="120"/>
      <c r="M178" s="120"/>
      <c r="N178" s="120"/>
      <c r="O178" s="391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428"/>
    </row>
    <row r="179" spans="1:38" hidden="1" outlineLevel="2" x14ac:dyDescent="0.35">
      <c r="C179" s="126" t="s">
        <v>101</v>
      </c>
      <c r="D179" s="438"/>
      <c r="E179" s="438"/>
      <c r="F179" s="439">
        <f>PMT(0.015,5,F120)</f>
        <v>-37.008810187838613</v>
      </c>
      <c r="G179" s="439">
        <f>PMT(0.015,4,G120)</f>
        <v>-36.737381695919424</v>
      </c>
      <c r="H179" s="439">
        <f>PMT(0.015,3,H120)</f>
        <v>-36.467270374110285</v>
      </c>
      <c r="I179" s="439">
        <f>PMT(0.015,2,I120)</f>
        <v>-36.198476426798997</v>
      </c>
      <c r="J179" s="439">
        <f>PMT(0.015,1,J120)</f>
        <v>-35.93099999999999</v>
      </c>
      <c r="K179" s="120"/>
      <c r="L179" s="120"/>
      <c r="M179" s="120"/>
      <c r="N179" s="120"/>
      <c r="O179" s="391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428"/>
    </row>
    <row r="180" spans="1:38" hidden="1" outlineLevel="2" x14ac:dyDescent="0.35">
      <c r="C180" s="126" t="s">
        <v>102</v>
      </c>
      <c r="D180" s="438"/>
      <c r="E180" s="438"/>
      <c r="F180" s="439">
        <f t="shared" ref="F180:AG180" si="569">PMT(0.0525,30,$F121)</f>
        <v>-16.729233380772399</v>
      </c>
      <c r="G180" s="439">
        <f t="shared" si="569"/>
        <v>-16.729233380772399</v>
      </c>
      <c r="H180" s="439">
        <f t="shared" si="569"/>
        <v>-16.729233380772399</v>
      </c>
      <c r="I180" s="439">
        <f t="shared" si="569"/>
        <v>-16.729233380772399</v>
      </c>
      <c r="J180" s="439">
        <f t="shared" si="569"/>
        <v>-16.729233380772399</v>
      </c>
      <c r="K180" s="439">
        <f t="shared" si="569"/>
        <v>-16.729233380772399</v>
      </c>
      <c r="L180" s="439">
        <f t="shared" si="569"/>
        <v>-16.729233380772399</v>
      </c>
      <c r="M180" s="439">
        <f t="shared" si="569"/>
        <v>-16.729233380772399</v>
      </c>
      <c r="N180" s="439">
        <f t="shared" si="569"/>
        <v>-16.729233380772399</v>
      </c>
      <c r="O180" s="456">
        <f t="shared" si="569"/>
        <v>-16.729233380772399</v>
      </c>
      <c r="P180" s="439">
        <f t="shared" si="569"/>
        <v>-16.729233380772399</v>
      </c>
      <c r="Q180" s="439">
        <f t="shared" si="569"/>
        <v>-16.729233380772399</v>
      </c>
      <c r="R180" s="439">
        <f t="shared" si="569"/>
        <v>-16.729233380772399</v>
      </c>
      <c r="S180" s="439">
        <f t="shared" si="569"/>
        <v>-16.729233380772399</v>
      </c>
      <c r="T180" s="439">
        <f t="shared" si="569"/>
        <v>-16.729233380772399</v>
      </c>
      <c r="U180" s="439">
        <f t="shared" si="569"/>
        <v>-16.729233380772399</v>
      </c>
      <c r="V180" s="439">
        <f t="shared" si="569"/>
        <v>-16.729233380772399</v>
      </c>
      <c r="W180" s="439">
        <f t="shared" si="569"/>
        <v>-16.729233380772399</v>
      </c>
      <c r="X180" s="439">
        <f t="shared" si="569"/>
        <v>-16.729233380772399</v>
      </c>
      <c r="Y180" s="439">
        <f t="shared" si="569"/>
        <v>-16.729233380772399</v>
      </c>
      <c r="Z180" s="439">
        <f t="shared" si="569"/>
        <v>-16.729233380772399</v>
      </c>
      <c r="AA180" s="439">
        <f t="shared" si="569"/>
        <v>-16.729233380772399</v>
      </c>
      <c r="AB180" s="439">
        <f t="shared" si="569"/>
        <v>-16.729233380772399</v>
      </c>
      <c r="AC180" s="439">
        <f t="shared" si="569"/>
        <v>-16.729233380772399</v>
      </c>
      <c r="AD180" s="439">
        <f t="shared" si="569"/>
        <v>-16.729233380772399</v>
      </c>
      <c r="AE180" s="439">
        <f t="shared" si="569"/>
        <v>-16.729233380772399</v>
      </c>
      <c r="AF180" s="439">
        <f t="shared" si="569"/>
        <v>-16.729233380772399</v>
      </c>
      <c r="AG180" s="451">
        <f t="shared" si="569"/>
        <v>-16.729233380772399</v>
      </c>
    </row>
    <row r="181" spans="1:38" s="11" customFormat="1" hidden="1" outlineLevel="2" x14ac:dyDescent="0.35">
      <c r="A181"/>
      <c r="B181"/>
      <c r="C181" s="126" t="s">
        <v>103</v>
      </c>
      <c r="D181" s="438"/>
      <c r="E181" s="438"/>
      <c r="F181" s="439"/>
      <c r="G181" s="439"/>
      <c r="H181" s="120">
        <f>0.5*PMT(0.0275,30,$G122)</f>
        <v>-0.74076630003860799</v>
      </c>
      <c r="I181" s="120">
        <f t="shared" ref="I181:AG181" si="570">PMT(0.0275,30,$G122)</f>
        <v>-1.481532600077216</v>
      </c>
      <c r="J181" s="120">
        <f t="shared" si="570"/>
        <v>-1.481532600077216</v>
      </c>
      <c r="K181" s="120">
        <f t="shared" si="570"/>
        <v>-1.481532600077216</v>
      </c>
      <c r="L181" s="120">
        <f t="shared" si="570"/>
        <v>-1.481532600077216</v>
      </c>
      <c r="M181" s="120">
        <f t="shared" si="570"/>
        <v>-1.481532600077216</v>
      </c>
      <c r="N181" s="120">
        <f t="shared" si="570"/>
        <v>-1.481532600077216</v>
      </c>
      <c r="O181" s="391">
        <f t="shared" si="570"/>
        <v>-1.481532600077216</v>
      </c>
      <c r="P181" s="120">
        <f t="shared" si="570"/>
        <v>-1.481532600077216</v>
      </c>
      <c r="Q181" s="120">
        <f t="shared" si="570"/>
        <v>-1.481532600077216</v>
      </c>
      <c r="R181" s="120">
        <f t="shared" si="570"/>
        <v>-1.481532600077216</v>
      </c>
      <c r="S181" s="120">
        <f t="shared" si="570"/>
        <v>-1.481532600077216</v>
      </c>
      <c r="T181" s="120">
        <f t="shared" si="570"/>
        <v>-1.481532600077216</v>
      </c>
      <c r="U181" s="120">
        <f t="shared" si="570"/>
        <v>-1.481532600077216</v>
      </c>
      <c r="V181" s="120">
        <f t="shared" si="570"/>
        <v>-1.481532600077216</v>
      </c>
      <c r="W181" s="120">
        <f t="shared" si="570"/>
        <v>-1.481532600077216</v>
      </c>
      <c r="X181" s="120">
        <f t="shared" si="570"/>
        <v>-1.481532600077216</v>
      </c>
      <c r="Y181" s="120">
        <f t="shared" si="570"/>
        <v>-1.481532600077216</v>
      </c>
      <c r="Z181" s="120">
        <f t="shared" si="570"/>
        <v>-1.481532600077216</v>
      </c>
      <c r="AA181" s="120">
        <f t="shared" si="570"/>
        <v>-1.481532600077216</v>
      </c>
      <c r="AB181" s="120">
        <f t="shared" si="570"/>
        <v>-1.481532600077216</v>
      </c>
      <c r="AC181" s="120">
        <f t="shared" si="570"/>
        <v>-1.481532600077216</v>
      </c>
      <c r="AD181" s="120">
        <f t="shared" si="570"/>
        <v>-1.481532600077216</v>
      </c>
      <c r="AE181" s="120">
        <f t="shared" si="570"/>
        <v>-1.481532600077216</v>
      </c>
      <c r="AF181" s="120">
        <f t="shared" si="570"/>
        <v>-1.481532600077216</v>
      </c>
      <c r="AG181" s="428">
        <f t="shared" si="570"/>
        <v>-1.481532600077216</v>
      </c>
      <c r="AI181" s="129"/>
      <c r="AJ181" s="129"/>
      <c r="AK181" s="129"/>
      <c r="AL181" s="129"/>
    </row>
    <row r="182" spans="1:38" s="11" customFormat="1" hidden="1" outlineLevel="2" x14ac:dyDescent="0.35">
      <c r="A182"/>
      <c r="B182"/>
      <c r="C182" s="126" t="s">
        <v>254</v>
      </c>
      <c r="D182" s="438"/>
      <c r="E182" s="438"/>
      <c r="F182" s="439"/>
      <c r="G182" s="439"/>
      <c r="H182" s="120"/>
      <c r="I182" s="120">
        <f>PMT(H$21,20,H$78)</f>
        <v>0</v>
      </c>
      <c r="J182" s="120">
        <f>I182</f>
        <v>0</v>
      </c>
      <c r="K182" s="120">
        <f t="shared" ref="K182:AB182" si="571">J182</f>
        <v>0</v>
      </c>
      <c r="L182" s="120">
        <f t="shared" si="571"/>
        <v>0</v>
      </c>
      <c r="M182" s="120">
        <f t="shared" si="571"/>
        <v>0</v>
      </c>
      <c r="N182" s="120">
        <f t="shared" si="571"/>
        <v>0</v>
      </c>
      <c r="O182" s="391">
        <f t="shared" si="571"/>
        <v>0</v>
      </c>
      <c r="P182" s="120">
        <f t="shared" si="571"/>
        <v>0</v>
      </c>
      <c r="Q182" s="120">
        <f t="shared" si="571"/>
        <v>0</v>
      </c>
      <c r="R182" s="120">
        <f t="shared" si="571"/>
        <v>0</v>
      </c>
      <c r="S182" s="120">
        <f t="shared" si="571"/>
        <v>0</v>
      </c>
      <c r="T182" s="120">
        <f t="shared" si="571"/>
        <v>0</v>
      </c>
      <c r="U182" s="120">
        <f t="shared" si="571"/>
        <v>0</v>
      </c>
      <c r="V182" s="120">
        <f t="shared" si="571"/>
        <v>0</v>
      </c>
      <c r="W182" s="120">
        <f t="shared" si="571"/>
        <v>0</v>
      </c>
      <c r="X182" s="120">
        <f t="shared" si="571"/>
        <v>0</v>
      </c>
      <c r="Y182" s="120">
        <f t="shared" si="571"/>
        <v>0</v>
      </c>
      <c r="Z182" s="120">
        <f t="shared" si="571"/>
        <v>0</v>
      </c>
      <c r="AA182" s="120">
        <f t="shared" si="571"/>
        <v>0</v>
      </c>
      <c r="AB182" s="120">
        <f t="shared" si="571"/>
        <v>0</v>
      </c>
      <c r="AC182" s="120"/>
      <c r="AD182" s="120"/>
      <c r="AE182" s="120"/>
      <c r="AF182" s="120"/>
      <c r="AG182" s="428"/>
      <c r="AI182" s="129"/>
      <c r="AJ182" s="129"/>
      <c r="AK182" s="129"/>
      <c r="AL182" s="129"/>
    </row>
    <row r="183" spans="1:38" s="11" customFormat="1" hidden="1" outlineLevel="2" x14ac:dyDescent="0.35">
      <c r="A183"/>
      <c r="B183"/>
      <c r="C183" s="126" t="s">
        <v>255</v>
      </c>
      <c r="D183" s="438"/>
      <c r="E183" s="438"/>
      <c r="F183" s="439"/>
      <c r="G183" s="439"/>
      <c r="H183" s="120"/>
      <c r="I183" s="391"/>
      <c r="J183" s="120">
        <f>PMT(I$21,20,I$78)</f>
        <v>-6.7215707596859131</v>
      </c>
      <c r="K183" s="120">
        <f>J183</f>
        <v>-6.7215707596859131</v>
      </c>
      <c r="L183" s="120">
        <f t="shared" ref="L183:AC183" si="572">K183</f>
        <v>-6.7215707596859131</v>
      </c>
      <c r="M183" s="120">
        <f t="shared" si="572"/>
        <v>-6.7215707596859131</v>
      </c>
      <c r="N183" s="120">
        <f t="shared" si="572"/>
        <v>-6.7215707596859131</v>
      </c>
      <c r="O183" s="391">
        <f t="shared" si="572"/>
        <v>-6.7215707596859131</v>
      </c>
      <c r="P183" s="120">
        <f t="shared" si="572"/>
        <v>-6.7215707596859131</v>
      </c>
      <c r="Q183" s="120">
        <f t="shared" si="572"/>
        <v>-6.7215707596859131</v>
      </c>
      <c r="R183" s="120">
        <f t="shared" si="572"/>
        <v>-6.7215707596859131</v>
      </c>
      <c r="S183" s="120">
        <f t="shared" si="572"/>
        <v>-6.7215707596859131</v>
      </c>
      <c r="T183" s="120">
        <f t="shared" si="572"/>
        <v>-6.7215707596859131</v>
      </c>
      <c r="U183" s="120">
        <f t="shared" si="572"/>
        <v>-6.7215707596859131</v>
      </c>
      <c r="V183" s="120">
        <f t="shared" si="572"/>
        <v>-6.7215707596859131</v>
      </c>
      <c r="W183" s="120">
        <f t="shared" si="572"/>
        <v>-6.7215707596859131</v>
      </c>
      <c r="X183" s="120">
        <f t="shared" si="572"/>
        <v>-6.7215707596859131</v>
      </c>
      <c r="Y183" s="120">
        <f t="shared" si="572"/>
        <v>-6.7215707596859131</v>
      </c>
      <c r="Z183" s="120">
        <f t="shared" si="572"/>
        <v>-6.7215707596859131</v>
      </c>
      <c r="AA183" s="120">
        <f t="shared" si="572"/>
        <v>-6.7215707596859131</v>
      </c>
      <c r="AB183" s="120">
        <f t="shared" si="572"/>
        <v>-6.7215707596859131</v>
      </c>
      <c r="AC183" s="120">
        <f t="shared" si="572"/>
        <v>-6.7215707596859131</v>
      </c>
      <c r="AD183" s="120"/>
      <c r="AE183" s="120"/>
      <c r="AF183" s="120"/>
      <c r="AG183" s="428"/>
      <c r="AH183" s="145"/>
      <c r="AI183" s="129"/>
      <c r="AJ183" s="129"/>
      <c r="AK183" s="129"/>
      <c r="AL183" s="129"/>
    </row>
    <row r="184" spans="1:38" s="11" customFormat="1" hidden="1" outlineLevel="2" x14ac:dyDescent="0.35">
      <c r="A184"/>
      <c r="B184"/>
      <c r="C184" s="126" t="s">
        <v>256</v>
      </c>
      <c r="D184" s="438"/>
      <c r="E184" s="438"/>
      <c r="F184" s="439"/>
      <c r="G184" s="439"/>
      <c r="H184" s="120"/>
      <c r="I184" s="391"/>
      <c r="J184" s="120"/>
      <c r="K184" s="120">
        <f>PMT(J$21,20,J$78)</f>
        <v>-20.164712279057735</v>
      </c>
      <c r="L184" s="120">
        <f t="shared" ref="L184" si="573">K184</f>
        <v>-20.164712279057735</v>
      </c>
      <c r="M184" s="120">
        <f t="shared" ref="M184" si="574">L184</f>
        <v>-20.164712279057735</v>
      </c>
      <c r="N184" s="120">
        <f t="shared" ref="N184" si="575">M184</f>
        <v>-20.164712279057735</v>
      </c>
      <c r="O184" s="391">
        <f t="shared" ref="O184" si="576">N184</f>
        <v>-20.164712279057735</v>
      </c>
      <c r="P184" s="120">
        <f t="shared" ref="P184" si="577">O184</f>
        <v>-20.164712279057735</v>
      </c>
      <c r="Q184" s="120">
        <f t="shared" ref="Q184" si="578">P184</f>
        <v>-20.164712279057735</v>
      </c>
      <c r="R184" s="120">
        <f t="shared" ref="R184" si="579">Q184</f>
        <v>-20.164712279057735</v>
      </c>
      <c r="S184" s="120">
        <f t="shared" ref="S184" si="580">R184</f>
        <v>-20.164712279057735</v>
      </c>
      <c r="T184" s="120">
        <f t="shared" ref="T184" si="581">S184</f>
        <v>-20.164712279057735</v>
      </c>
      <c r="U184" s="120">
        <f t="shared" ref="U184" si="582">T184</f>
        <v>-20.164712279057735</v>
      </c>
      <c r="V184" s="120">
        <f t="shared" ref="V184" si="583">U184</f>
        <v>-20.164712279057735</v>
      </c>
      <c r="W184" s="120">
        <f t="shared" ref="W184" si="584">V184</f>
        <v>-20.164712279057735</v>
      </c>
      <c r="X184" s="120">
        <f t="shared" ref="X184" si="585">W184</f>
        <v>-20.164712279057735</v>
      </c>
      <c r="Y184" s="120">
        <f t="shared" ref="Y184" si="586">X184</f>
        <v>-20.164712279057735</v>
      </c>
      <c r="Z184" s="120">
        <f t="shared" ref="Z184" si="587">Y184</f>
        <v>-20.164712279057735</v>
      </c>
      <c r="AA184" s="120">
        <f t="shared" ref="AA184" si="588">Z184</f>
        <v>-20.164712279057735</v>
      </c>
      <c r="AB184" s="120">
        <f t="shared" ref="AB184" si="589">AA184</f>
        <v>-20.164712279057735</v>
      </c>
      <c r="AC184" s="120">
        <f t="shared" ref="AC184:AD184" si="590">AB184</f>
        <v>-20.164712279057735</v>
      </c>
      <c r="AD184" s="120">
        <f t="shared" si="590"/>
        <v>-20.164712279057735</v>
      </c>
      <c r="AE184" s="120"/>
      <c r="AF184" s="120"/>
      <c r="AG184" s="428"/>
      <c r="AI184" s="129"/>
      <c r="AJ184" s="129"/>
      <c r="AK184" s="129"/>
      <c r="AL184" s="129"/>
    </row>
    <row r="185" spans="1:38" s="11" customFormat="1" hidden="1" outlineLevel="2" x14ac:dyDescent="0.35">
      <c r="A185"/>
      <c r="B185"/>
      <c r="C185" s="126" t="s">
        <v>257</v>
      </c>
      <c r="D185" s="438"/>
      <c r="E185" s="438"/>
      <c r="F185" s="439"/>
      <c r="G185" s="439"/>
      <c r="H185" s="120"/>
      <c r="I185" s="391"/>
      <c r="J185" s="120"/>
      <c r="K185" s="120"/>
      <c r="L185" s="120">
        <f>PMT(K$21,20,K$78)</f>
        <v>0</v>
      </c>
      <c r="M185" s="120">
        <f>L185</f>
        <v>0</v>
      </c>
      <c r="N185" s="120">
        <f t="shared" ref="N185:AG200" si="591">M185</f>
        <v>0</v>
      </c>
      <c r="O185" s="391">
        <f t="shared" si="591"/>
        <v>0</v>
      </c>
      <c r="P185" s="120">
        <f t="shared" si="591"/>
        <v>0</v>
      </c>
      <c r="Q185" s="120">
        <f t="shared" si="591"/>
        <v>0</v>
      </c>
      <c r="R185" s="120">
        <f t="shared" si="591"/>
        <v>0</v>
      </c>
      <c r="S185" s="120">
        <f t="shared" si="591"/>
        <v>0</v>
      </c>
      <c r="T185" s="120">
        <f t="shared" si="591"/>
        <v>0</v>
      </c>
      <c r="U185" s="120">
        <f t="shared" si="591"/>
        <v>0</v>
      </c>
      <c r="V185" s="120">
        <f t="shared" si="591"/>
        <v>0</v>
      </c>
      <c r="W185" s="120">
        <f t="shared" si="591"/>
        <v>0</v>
      </c>
      <c r="X185" s="120">
        <f t="shared" si="591"/>
        <v>0</v>
      </c>
      <c r="Y185" s="120">
        <f t="shared" si="591"/>
        <v>0</v>
      </c>
      <c r="Z185" s="120">
        <f t="shared" si="591"/>
        <v>0</v>
      </c>
      <c r="AA185" s="120">
        <f t="shared" si="591"/>
        <v>0</v>
      </c>
      <c r="AB185" s="120">
        <f t="shared" si="591"/>
        <v>0</v>
      </c>
      <c r="AC185" s="120">
        <f t="shared" si="591"/>
        <v>0</v>
      </c>
      <c r="AD185" s="120">
        <f t="shared" si="591"/>
        <v>0</v>
      </c>
      <c r="AE185" s="120">
        <f t="shared" si="591"/>
        <v>0</v>
      </c>
      <c r="AF185" s="120"/>
      <c r="AG185" s="428"/>
      <c r="AI185" s="129"/>
      <c r="AJ185" s="129"/>
      <c r="AK185" s="129"/>
      <c r="AL185" s="129"/>
    </row>
    <row r="186" spans="1:38" s="11" customFormat="1" hidden="1" outlineLevel="2" x14ac:dyDescent="0.35">
      <c r="A186"/>
      <c r="B186"/>
      <c r="C186" s="126" t="s">
        <v>258</v>
      </c>
      <c r="D186" s="438"/>
      <c r="E186" s="438"/>
      <c r="F186" s="439"/>
      <c r="G186" s="439"/>
      <c r="H186" s="120"/>
      <c r="I186" s="391"/>
      <c r="J186" s="120"/>
      <c r="K186" s="120"/>
      <c r="L186" s="120"/>
      <c r="M186" s="120">
        <f>PMT(L$21,20,L$78)</f>
        <v>-6.7215707596859131</v>
      </c>
      <c r="N186" s="120">
        <f t="shared" ref="N186" si="592">M186</f>
        <v>-6.7215707596859131</v>
      </c>
      <c r="O186" s="391">
        <f t="shared" si="591"/>
        <v>-6.7215707596859131</v>
      </c>
      <c r="P186" s="120">
        <f t="shared" si="591"/>
        <v>-6.7215707596859131</v>
      </c>
      <c r="Q186" s="120">
        <f t="shared" si="591"/>
        <v>-6.7215707596859131</v>
      </c>
      <c r="R186" s="120">
        <f t="shared" si="591"/>
        <v>-6.7215707596859131</v>
      </c>
      <c r="S186" s="120">
        <f t="shared" si="591"/>
        <v>-6.7215707596859131</v>
      </c>
      <c r="T186" s="120">
        <f t="shared" si="591"/>
        <v>-6.7215707596859131</v>
      </c>
      <c r="U186" s="120">
        <f t="shared" si="591"/>
        <v>-6.7215707596859131</v>
      </c>
      <c r="V186" s="120">
        <f t="shared" si="591"/>
        <v>-6.7215707596859131</v>
      </c>
      <c r="W186" s="120">
        <f t="shared" si="591"/>
        <v>-6.7215707596859131</v>
      </c>
      <c r="X186" s="120">
        <f t="shared" si="591"/>
        <v>-6.7215707596859131</v>
      </c>
      <c r="Y186" s="120">
        <f t="shared" si="591"/>
        <v>-6.7215707596859131</v>
      </c>
      <c r="Z186" s="120">
        <f t="shared" si="591"/>
        <v>-6.7215707596859131</v>
      </c>
      <c r="AA186" s="120">
        <f t="shared" si="591"/>
        <v>-6.7215707596859131</v>
      </c>
      <c r="AB186" s="120">
        <f t="shared" si="591"/>
        <v>-6.7215707596859131</v>
      </c>
      <c r="AC186" s="120">
        <f t="shared" si="591"/>
        <v>-6.7215707596859131</v>
      </c>
      <c r="AD186" s="120">
        <f t="shared" si="591"/>
        <v>-6.7215707596859131</v>
      </c>
      <c r="AE186" s="120">
        <f t="shared" si="591"/>
        <v>-6.7215707596859131</v>
      </c>
      <c r="AF186" s="120">
        <f>AE186</f>
        <v>-6.7215707596859131</v>
      </c>
      <c r="AG186" s="428"/>
      <c r="AI186" s="129"/>
      <c r="AJ186" s="129"/>
      <c r="AK186" s="129"/>
      <c r="AL186" s="129"/>
    </row>
    <row r="187" spans="1:38" s="11" customFormat="1" hidden="1" outlineLevel="2" x14ac:dyDescent="0.35">
      <c r="A187"/>
      <c r="B187"/>
      <c r="C187" s="126" t="s">
        <v>259</v>
      </c>
      <c r="D187" s="438"/>
      <c r="E187" s="438"/>
      <c r="F187" s="439"/>
      <c r="G187" s="439"/>
      <c r="H187" s="120"/>
      <c r="I187" s="391"/>
      <c r="J187" s="120"/>
      <c r="K187" s="120"/>
      <c r="L187" s="120"/>
      <c r="M187" s="120"/>
      <c r="N187" s="120">
        <f>PMT(M$21,20,M$78)</f>
        <v>0</v>
      </c>
      <c r="O187" s="391">
        <f t="shared" si="591"/>
        <v>0</v>
      </c>
      <c r="P187" s="120">
        <f t="shared" si="591"/>
        <v>0</v>
      </c>
      <c r="Q187" s="120">
        <f t="shared" si="591"/>
        <v>0</v>
      </c>
      <c r="R187" s="120">
        <f t="shared" si="591"/>
        <v>0</v>
      </c>
      <c r="S187" s="120">
        <f t="shared" si="591"/>
        <v>0</v>
      </c>
      <c r="T187" s="120">
        <f t="shared" si="591"/>
        <v>0</v>
      </c>
      <c r="U187" s="120">
        <f t="shared" si="591"/>
        <v>0</v>
      </c>
      <c r="V187" s="120">
        <f t="shared" si="591"/>
        <v>0</v>
      </c>
      <c r="W187" s="120">
        <f t="shared" si="591"/>
        <v>0</v>
      </c>
      <c r="X187" s="120">
        <f t="shared" si="591"/>
        <v>0</v>
      </c>
      <c r="Y187" s="120">
        <f t="shared" si="591"/>
        <v>0</v>
      </c>
      <c r="Z187" s="120">
        <f t="shared" si="591"/>
        <v>0</v>
      </c>
      <c r="AA187" s="120">
        <f t="shared" si="591"/>
        <v>0</v>
      </c>
      <c r="AB187" s="120">
        <f t="shared" si="591"/>
        <v>0</v>
      </c>
      <c r="AC187" s="120">
        <f t="shared" si="591"/>
        <v>0</v>
      </c>
      <c r="AD187" s="120">
        <f t="shared" si="591"/>
        <v>0</v>
      </c>
      <c r="AE187" s="120">
        <f t="shared" si="591"/>
        <v>0</v>
      </c>
      <c r="AF187" s="120">
        <f t="shared" si="591"/>
        <v>0</v>
      </c>
      <c r="AG187" s="428">
        <f t="shared" si="591"/>
        <v>0</v>
      </c>
      <c r="AH187" s="145"/>
      <c r="AI187" s="129"/>
      <c r="AJ187" s="129"/>
      <c r="AK187" s="129"/>
      <c r="AL187" s="129"/>
    </row>
    <row r="188" spans="1:38" s="11" customFormat="1" hidden="1" outlineLevel="2" x14ac:dyDescent="0.35">
      <c r="A188"/>
      <c r="B188"/>
      <c r="C188" s="126" t="s">
        <v>260</v>
      </c>
      <c r="D188" s="438"/>
      <c r="E188" s="438"/>
      <c r="F188" s="439"/>
      <c r="G188" s="439"/>
      <c r="H188" s="120"/>
      <c r="I188" s="391"/>
      <c r="J188" s="120"/>
      <c r="K188" s="120"/>
      <c r="L188" s="120"/>
      <c r="M188" s="120"/>
      <c r="N188" s="120"/>
      <c r="O188" s="391">
        <f>PMT(N$21,20,N$78)</f>
        <v>0</v>
      </c>
      <c r="P188" s="120">
        <f t="shared" si="591"/>
        <v>0</v>
      </c>
      <c r="Q188" s="120">
        <f t="shared" si="591"/>
        <v>0</v>
      </c>
      <c r="R188" s="120">
        <f t="shared" si="591"/>
        <v>0</v>
      </c>
      <c r="S188" s="120">
        <f t="shared" si="591"/>
        <v>0</v>
      </c>
      <c r="T188" s="120">
        <f t="shared" si="591"/>
        <v>0</v>
      </c>
      <c r="U188" s="120">
        <f t="shared" si="591"/>
        <v>0</v>
      </c>
      <c r="V188" s="120">
        <f t="shared" si="591"/>
        <v>0</v>
      </c>
      <c r="W188" s="120">
        <f t="shared" si="591"/>
        <v>0</v>
      </c>
      <c r="X188" s="120">
        <f t="shared" si="591"/>
        <v>0</v>
      </c>
      <c r="Y188" s="120">
        <f t="shared" si="591"/>
        <v>0</v>
      </c>
      <c r="Z188" s="120">
        <f t="shared" si="591"/>
        <v>0</v>
      </c>
      <c r="AA188" s="120">
        <f t="shared" si="591"/>
        <v>0</v>
      </c>
      <c r="AB188" s="120">
        <f t="shared" si="591"/>
        <v>0</v>
      </c>
      <c r="AC188" s="120">
        <f t="shared" si="591"/>
        <v>0</v>
      </c>
      <c r="AD188" s="120">
        <f t="shared" si="591"/>
        <v>0</v>
      </c>
      <c r="AE188" s="120">
        <f t="shared" si="591"/>
        <v>0</v>
      </c>
      <c r="AF188" s="120">
        <f t="shared" si="591"/>
        <v>0</v>
      </c>
      <c r="AG188" s="428">
        <f t="shared" si="591"/>
        <v>0</v>
      </c>
      <c r="AI188" s="129"/>
      <c r="AJ188" s="129"/>
      <c r="AK188" s="129"/>
      <c r="AL188" s="129"/>
    </row>
    <row r="189" spans="1:38" s="11" customFormat="1" hidden="1" outlineLevel="2" x14ac:dyDescent="0.35">
      <c r="A189"/>
      <c r="B189"/>
      <c r="C189" s="126" t="s">
        <v>261</v>
      </c>
      <c r="D189" s="438"/>
      <c r="E189" s="438"/>
      <c r="F189" s="439"/>
      <c r="G189" s="439"/>
      <c r="H189" s="120"/>
      <c r="I189" s="391"/>
      <c r="J189" s="120"/>
      <c r="K189" s="120"/>
      <c r="L189" s="120"/>
      <c r="M189" s="120"/>
      <c r="N189" s="120"/>
      <c r="O189" s="391"/>
      <c r="P189" s="120">
        <f>PMT(O$21,20,O$78)</f>
        <v>-13.443141519371826</v>
      </c>
      <c r="Q189" s="120">
        <f t="shared" si="591"/>
        <v>-13.443141519371826</v>
      </c>
      <c r="R189" s="120">
        <f t="shared" si="591"/>
        <v>-13.443141519371826</v>
      </c>
      <c r="S189" s="120">
        <f t="shared" si="591"/>
        <v>-13.443141519371826</v>
      </c>
      <c r="T189" s="120">
        <f t="shared" si="591"/>
        <v>-13.443141519371826</v>
      </c>
      <c r="U189" s="120">
        <f t="shared" si="591"/>
        <v>-13.443141519371826</v>
      </c>
      <c r="V189" s="120">
        <f t="shared" si="591"/>
        <v>-13.443141519371826</v>
      </c>
      <c r="W189" s="120">
        <f t="shared" si="591"/>
        <v>-13.443141519371826</v>
      </c>
      <c r="X189" s="120">
        <f t="shared" si="591"/>
        <v>-13.443141519371826</v>
      </c>
      <c r="Y189" s="120">
        <f t="shared" si="591"/>
        <v>-13.443141519371826</v>
      </c>
      <c r="Z189" s="120">
        <f t="shared" si="591"/>
        <v>-13.443141519371826</v>
      </c>
      <c r="AA189" s="120">
        <f t="shared" si="591"/>
        <v>-13.443141519371826</v>
      </c>
      <c r="AB189" s="120">
        <f t="shared" si="591"/>
        <v>-13.443141519371826</v>
      </c>
      <c r="AC189" s="120">
        <f t="shared" si="591"/>
        <v>-13.443141519371826</v>
      </c>
      <c r="AD189" s="120">
        <f t="shared" si="591"/>
        <v>-13.443141519371826</v>
      </c>
      <c r="AE189" s="120">
        <f t="shared" si="591"/>
        <v>-13.443141519371826</v>
      </c>
      <c r="AF189" s="120">
        <f t="shared" si="591"/>
        <v>-13.443141519371826</v>
      </c>
      <c r="AG189" s="428">
        <f t="shared" si="591"/>
        <v>-13.443141519371826</v>
      </c>
      <c r="AI189" s="129"/>
      <c r="AJ189" s="129"/>
      <c r="AK189" s="129"/>
      <c r="AL189" s="129"/>
    </row>
    <row r="190" spans="1:38" s="11" customFormat="1" hidden="1" outlineLevel="2" x14ac:dyDescent="0.35">
      <c r="A190"/>
      <c r="B190"/>
      <c r="C190" s="126" t="s">
        <v>262</v>
      </c>
      <c r="D190" s="438"/>
      <c r="E190" s="438"/>
      <c r="F190" s="439"/>
      <c r="G190" s="439"/>
      <c r="H190" s="120"/>
      <c r="I190" s="391"/>
      <c r="J190" s="120"/>
      <c r="K190" s="120"/>
      <c r="L190" s="120"/>
      <c r="M190" s="120"/>
      <c r="N190" s="120"/>
      <c r="O190" s="391"/>
      <c r="P190" s="120"/>
      <c r="Q190" s="120">
        <f>PMT(P$21,20,P$78)</f>
        <v>0</v>
      </c>
      <c r="R190" s="120">
        <f t="shared" si="591"/>
        <v>0</v>
      </c>
      <c r="S190" s="120">
        <f t="shared" si="591"/>
        <v>0</v>
      </c>
      <c r="T190" s="120">
        <f t="shared" si="591"/>
        <v>0</v>
      </c>
      <c r="U190" s="120">
        <f t="shared" si="591"/>
        <v>0</v>
      </c>
      <c r="V190" s="120">
        <f t="shared" si="591"/>
        <v>0</v>
      </c>
      <c r="W190" s="120">
        <f t="shared" si="591"/>
        <v>0</v>
      </c>
      <c r="X190" s="120">
        <f t="shared" si="591"/>
        <v>0</v>
      </c>
      <c r="Y190" s="120">
        <f t="shared" si="591"/>
        <v>0</v>
      </c>
      <c r="Z190" s="120">
        <f t="shared" si="591"/>
        <v>0</v>
      </c>
      <c r="AA190" s="120">
        <f t="shared" si="591"/>
        <v>0</v>
      </c>
      <c r="AB190" s="120">
        <f t="shared" si="591"/>
        <v>0</v>
      </c>
      <c r="AC190" s="120">
        <f t="shared" si="591"/>
        <v>0</v>
      </c>
      <c r="AD190" s="120">
        <f t="shared" si="591"/>
        <v>0</v>
      </c>
      <c r="AE190" s="120">
        <f t="shared" si="591"/>
        <v>0</v>
      </c>
      <c r="AF190" s="120">
        <f t="shared" si="591"/>
        <v>0</v>
      </c>
      <c r="AG190" s="428">
        <f t="shared" si="591"/>
        <v>0</v>
      </c>
      <c r="AI190" s="129"/>
      <c r="AJ190" s="129"/>
      <c r="AK190" s="129"/>
      <c r="AL190" s="129"/>
    </row>
    <row r="191" spans="1:38" s="11" customFormat="1" hidden="1" outlineLevel="2" x14ac:dyDescent="0.35">
      <c r="A191"/>
      <c r="B191"/>
      <c r="C191" s="126" t="s">
        <v>263</v>
      </c>
      <c r="D191" s="438"/>
      <c r="E191" s="438"/>
      <c r="F191" s="439"/>
      <c r="G191" s="439"/>
      <c r="H191" s="120"/>
      <c r="I191" s="391"/>
      <c r="J191" s="120"/>
      <c r="K191" s="120"/>
      <c r="L191" s="120"/>
      <c r="M191" s="120"/>
      <c r="N191" s="120"/>
      <c r="O191" s="391"/>
      <c r="P191" s="120"/>
      <c r="Q191" s="120"/>
      <c r="R191" s="120">
        <f>PMT(Q$21,20,Q$78)</f>
        <v>0</v>
      </c>
      <c r="S191" s="120">
        <f t="shared" si="591"/>
        <v>0</v>
      </c>
      <c r="T191" s="120">
        <f t="shared" si="591"/>
        <v>0</v>
      </c>
      <c r="U191" s="120">
        <f t="shared" si="591"/>
        <v>0</v>
      </c>
      <c r="V191" s="120">
        <f t="shared" si="591"/>
        <v>0</v>
      </c>
      <c r="W191" s="120">
        <f t="shared" si="591"/>
        <v>0</v>
      </c>
      <c r="X191" s="120">
        <f t="shared" si="591"/>
        <v>0</v>
      </c>
      <c r="Y191" s="120">
        <f t="shared" si="591"/>
        <v>0</v>
      </c>
      <c r="Z191" s="120">
        <f t="shared" si="591"/>
        <v>0</v>
      </c>
      <c r="AA191" s="120">
        <f t="shared" si="591"/>
        <v>0</v>
      </c>
      <c r="AB191" s="120">
        <f t="shared" si="591"/>
        <v>0</v>
      </c>
      <c r="AC191" s="120">
        <f t="shared" si="591"/>
        <v>0</v>
      </c>
      <c r="AD191" s="120">
        <f t="shared" si="591"/>
        <v>0</v>
      </c>
      <c r="AE191" s="120">
        <f t="shared" si="591"/>
        <v>0</v>
      </c>
      <c r="AF191" s="120">
        <f t="shared" si="591"/>
        <v>0</v>
      </c>
      <c r="AG191" s="428">
        <f t="shared" si="591"/>
        <v>0</v>
      </c>
      <c r="AI191" s="129"/>
      <c r="AJ191" s="129"/>
      <c r="AK191" s="129"/>
      <c r="AL191" s="129"/>
    </row>
    <row r="192" spans="1:38" s="11" customFormat="1" hidden="1" outlineLevel="2" x14ac:dyDescent="0.35">
      <c r="A192"/>
      <c r="B192"/>
      <c r="C192" s="126" t="s">
        <v>264</v>
      </c>
      <c r="D192" s="438"/>
      <c r="E192" s="438"/>
      <c r="F192" s="439"/>
      <c r="G192" s="439"/>
      <c r="H192" s="120"/>
      <c r="I192" s="391"/>
      <c r="J192" s="120"/>
      <c r="K192" s="120"/>
      <c r="L192" s="120"/>
      <c r="M192" s="120"/>
      <c r="N192" s="120"/>
      <c r="O192" s="391"/>
      <c r="P192" s="120"/>
      <c r="Q192" s="120"/>
      <c r="R192" s="120"/>
      <c r="S192" s="120">
        <f>PMT(R$21,20,R$78)</f>
        <v>0</v>
      </c>
      <c r="T192" s="120">
        <f t="shared" si="591"/>
        <v>0</v>
      </c>
      <c r="U192" s="120">
        <f t="shared" si="591"/>
        <v>0</v>
      </c>
      <c r="V192" s="120">
        <f t="shared" si="591"/>
        <v>0</v>
      </c>
      <c r="W192" s="120">
        <f t="shared" si="591"/>
        <v>0</v>
      </c>
      <c r="X192" s="120">
        <f t="shared" si="591"/>
        <v>0</v>
      </c>
      <c r="Y192" s="120">
        <f t="shared" si="591"/>
        <v>0</v>
      </c>
      <c r="Z192" s="120">
        <f t="shared" si="591"/>
        <v>0</v>
      </c>
      <c r="AA192" s="120">
        <f t="shared" si="591"/>
        <v>0</v>
      </c>
      <c r="AB192" s="120">
        <f t="shared" si="591"/>
        <v>0</v>
      </c>
      <c r="AC192" s="120">
        <f t="shared" si="591"/>
        <v>0</v>
      </c>
      <c r="AD192" s="120">
        <f t="shared" si="591"/>
        <v>0</v>
      </c>
      <c r="AE192" s="120">
        <f t="shared" si="591"/>
        <v>0</v>
      </c>
      <c r="AF192" s="120">
        <f t="shared" si="591"/>
        <v>0</v>
      </c>
      <c r="AG192" s="428">
        <f t="shared" si="591"/>
        <v>0</v>
      </c>
      <c r="AI192" s="129"/>
      <c r="AJ192" s="129"/>
      <c r="AK192" s="129"/>
      <c r="AL192" s="129"/>
    </row>
    <row r="193" spans="1:38" s="11" customFormat="1" hidden="1" outlineLevel="2" x14ac:dyDescent="0.35">
      <c r="A193"/>
      <c r="B193"/>
      <c r="C193" s="126" t="s">
        <v>265</v>
      </c>
      <c r="D193" s="438"/>
      <c r="E193" s="438"/>
      <c r="F193" s="439"/>
      <c r="G193" s="439"/>
      <c r="H193" s="120"/>
      <c r="I193" s="391"/>
      <c r="J193" s="120"/>
      <c r="K193" s="120"/>
      <c r="L193" s="120"/>
      <c r="M193" s="120"/>
      <c r="N193" s="120"/>
      <c r="O193" s="391"/>
      <c r="P193" s="120"/>
      <c r="Q193" s="120"/>
      <c r="R193" s="120"/>
      <c r="S193" s="120"/>
      <c r="T193" s="120">
        <f>PMT(S$21,20,S$78)</f>
        <v>0</v>
      </c>
      <c r="U193" s="120">
        <f t="shared" si="591"/>
        <v>0</v>
      </c>
      <c r="V193" s="120">
        <f t="shared" si="591"/>
        <v>0</v>
      </c>
      <c r="W193" s="120">
        <f t="shared" si="591"/>
        <v>0</v>
      </c>
      <c r="X193" s="120">
        <f t="shared" si="591"/>
        <v>0</v>
      </c>
      <c r="Y193" s="120">
        <f t="shared" si="591"/>
        <v>0</v>
      </c>
      <c r="Z193" s="120">
        <f t="shared" si="591"/>
        <v>0</v>
      </c>
      <c r="AA193" s="120">
        <f t="shared" si="591"/>
        <v>0</v>
      </c>
      <c r="AB193" s="120">
        <f t="shared" si="591"/>
        <v>0</v>
      </c>
      <c r="AC193" s="120">
        <f t="shared" si="591"/>
        <v>0</v>
      </c>
      <c r="AD193" s="120">
        <f t="shared" si="591"/>
        <v>0</v>
      </c>
      <c r="AE193" s="120">
        <f t="shared" si="591"/>
        <v>0</v>
      </c>
      <c r="AF193" s="120">
        <f t="shared" si="591"/>
        <v>0</v>
      </c>
      <c r="AG193" s="428">
        <f t="shared" si="591"/>
        <v>0</v>
      </c>
      <c r="AH193" s="145"/>
      <c r="AI193" s="129"/>
      <c r="AJ193" s="129"/>
      <c r="AK193" s="129"/>
      <c r="AL193" s="129"/>
    </row>
    <row r="194" spans="1:38" s="11" customFormat="1" hidden="1" outlineLevel="2" x14ac:dyDescent="0.35">
      <c r="A194"/>
      <c r="B194"/>
      <c r="C194" s="126" t="s">
        <v>266</v>
      </c>
      <c r="D194" s="438"/>
      <c r="E194" s="438"/>
      <c r="F194" s="439"/>
      <c r="G194" s="439"/>
      <c r="H194" s="120"/>
      <c r="I194" s="391"/>
      <c r="J194" s="120"/>
      <c r="K194" s="120"/>
      <c r="L194" s="120"/>
      <c r="M194" s="120"/>
      <c r="N194" s="120"/>
      <c r="O194" s="391"/>
      <c r="P194" s="120"/>
      <c r="Q194" s="120"/>
      <c r="R194" s="120"/>
      <c r="S194" s="120"/>
      <c r="T194" s="120"/>
      <c r="U194" s="120">
        <f>PMT(T$21,20,T$78)</f>
        <v>0</v>
      </c>
      <c r="V194" s="120">
        <f t="shared" si="591"/>
        <v>0</v>
      </c>
      <c r="W194" s="120">
        <f t="shared" si="591"/>
        <v>0</v>
      </c>
      <c r="X194" s="120">
        <f t="shared" si="591"/>
        <v>0</v>
      </c>
      <c r="Y194" s="120">
        <f t="shared" si="591"/>
        <v>0</v>
      </c>
      <c r="Z194" s="120">
        <f t="shared" si="591"/>
        <v>0</v>
      </c>
      <c r="AA194" s="120">
        <f t="shared" si="591"/>
        <v>0</v>
      </c>
      <c r="AB194" s="120">
        <f t="shared" si="591"/>
        <v>0</v>
      </c>
      <c r="AC194" s="120">
        <f t="shared" si="591"/>
        <v>0</v>
      </c>
      <c r="AD194" s="120">
        <f t="shared" si="591"/>
        <v>0</v>
      </c>
      <c r="AE194" s="120">
        <f t="shared" si="591"/>
        <v>0</v>
      </c>
      <c r="AF194" s="120">
        <f t="shared" si="591"/>
        <v>0</v>
      </c>
      <c r="AG194" s="428">
        <f t="shared" si="591"/>
        <v>0</v>
      </c>
      <c r="AH194" s="145"/>
      <c r="AI194" s="129"/>
      <c r="AJ194" s="129"/>
      <c r="AK194" s="129"/>
      <c r="AL194" s="129"/>
    </row>
    <row r="195" spans="1:38" s="11" customFormat="1" hidden="1" outlineLevel="2" x14ac:dyDescent="0.35">
      <c r="A195"/>
      <c r="B195"/>
      <c r="C195" s="126" t="s">
        <v>267</v>
      </c>
      <c r="D195" s="438"/>
      <c r="E195" s="438"/>
      <c r="F195" s="439"/>
      <c r="G195" s="439"/>
      <c r="H195" s="120"/>
      <c r="I195" s="391"/>
      <c r="J195" s="120"/>
      <c r="K195" s="120"/>
      <c r="L195" s="120"/>
      <c r="M195" s="120"/>
      <c r="N195" s="120"/>
      <c r="O195" s="391"/>
      <c r="P195" s="120"/>
      <c r="Q195" s="120"/>
      <c r="R195" s="120"/>
      <c r="S195" s="120"/>
      <c r="T195" s="120"/>
      <c r="U195" s="120"/>
      <c r="V195" s="120">
        <f>PMT(U$21,20,U$78)</f>
        <v>0</v>
      </c>
      <c r="W195" s="120">
        <f t="shared" si="591"/>
        <v>0</v>
      </c>
      <c r="X195" s="120">
        <f t="shared" si="591"/>
        <v>0</v>
      </c>
      <c r="Y195" s="120">
        <f t="shared" si="591"/>
        <v>0</v>
      </c>
      <c r="Z195" s="120">
        <f t="shared" si="591"/>
        <v>0</v>
      </c>
      <c r="AA195" s="120">
        <f t="shared" si="591"/>
        <v>0</v>
      </c>
      <c r="AB195" s="120">
        <f t="shared" si="591"/>
        <v>0</v>
      </c>
      <c r="AC195" s="120">
        <f t="shared" si="591"/>
        <v>0</v>
      </c>
      <c r="AD195" s="120">
        <f t="shared" si="591"/>
        <v>0</v>
      </c>
      <c r="AE195" s="120">
        <f t="shared" si="591"/>
        <v>0</v>
      </c>
      <c r="AF195" s="120">
        <f t="shared" si="591"/>
        <v>0</v>
      </c>
      <c r="AG195" s="428">
        <f t="shared" si="591"/>
        <v>0</v>
      </c>
      <c r="AH195" s="145"/>
      <c r="AI195" s="129"/>
      <c r="AJ195" s="129"/>
      <c r="AK195" s="129"/>
      <c r="AL195" s="129"/>
    </row>
    <row r="196" spans="1:38" hidden="1" outlineLevel="2" x14ac:dyDescent="0.35">
      <c r="C196" s="126" t="s">
        <v>268</v>
      </c>
      <c r="D196" s="438"/>
      <c r="E196" s="438"/>
      <c r="F196" s="439"/>
      <c r="G196" s="439"/>
      <c r="H196" s="120"/>
      <c r="I196" s="391"/>
      <c r="J196" s="120"/>
      <c r="K196" s="120"/>
      <c r="L196" s="120"/>
      <c r="M196" s="120"/>
      <c r="N196" s="120"/>
      <c r="O196" s="391"/>
      <c r="P196" s="120"/>
      <c r="Q196" s="120"/>
      <c r="R196" s="120"/>
      <c r="S196" s="120"/>
      <c r="T196" s="120"/>
      <c r="U196" s="120"/>
      <c r="V196" s="120"/>
      <c r="W196" s="120">
        <f>PMT(V$21,20,V$78)</f>
        <v>0</v>
      </c>
      <c r="X196" s="120">
        <f t="shared" si="591"/>
        <v>0</v>
      </c>
      <c r="Y196" s="120">
        <f t="shared" si="591"/>
        <v>0</v>
      </c>
      <c r="Z196" s="120">
        <f t="shared" si="591"/>
        <v>0</v>
      </c>
      <c r="AA196" s="120">
        <f t="shared" si="591"/>
        <v>0</v>
      </c>
      <c r="AB196" s="120">
        <f t="shared" si="591"/>
        <v>0</v>
      </c>
      <c r="AC196" s="120">
        <f t="shared" si="591"/>
        <v>0</v>
      </c>
      <c r="AD196" s="120">
        <f t="shared" si="591"/>
        <v>0</v>
      </c>
      <c r="AE196" s="120">
        <f t="shared" si="591"/>
        <v>0</v>
      </c>
      <c r="AF196" s="120">
        <f t="shared" si="591"/>
        <v>0</v>
      </c>
      <c r="AG196" s="428">
        <f t="shared" si="591"/>
        <v>0</v>
      </c>
    </row>
    <row r="197" spans="1:38" hidden="1" outlineLevel="2" x14ac:dyDescent="0.35">
      <c r="C197" s="126" t="s">
        <v>269</v>
      </c>
      <c r="D197" s="438"/>
      <c r="E197" s="438"/>
      <c r="F197" s="439"/>
      <c r="G197" s="439"/>
      <c r="H197" s="120"/>
      <c r="I197" s="391"/>
      <c r="J197" s="120"/>
      <c r="K197" s="120"/>
      <c r="L197" s="120"/>
      <c r="M197" s="120"/>
      <c r="N197" s="120"/>
      <c r="O197" s="391"/>
      <c r="P197" s="120"/>
      <c r="Q197" s="120"/>
      <c r="R197" s="120"/>
      <c r="S197" s="120"/>
      <c r="T197" s="120"/>
      <c r="U197" s="120"/>
      <c r="V197" s="120"/>
      <c r="W197" s="120"/>
      <c r="X197" s="120">
        <f>PMT(W$21,20,W$78)</f>
        <v>0</v>
      </c>
      <c r="Y197" s="120">
        <f t="shared" si="591"/>
        <v>0</v>
      </c>
      <c r="Z197" s="120">
        <f t="shared" si="591"/>
        <v>0</v>
      </c>
      <c r="AA197" s="120">
        <f t="shared" si="591"/>
        <v>0</v>
      </c>
      <c r="AB197" s="120">
        <f t="shared" si="591"/>
        <v>0</v>
      </c>
      <c r="AC197" s="120">
        <f t="shared" si="591"/>
        <v>0</v>
      </c>
      <c r="AD197" s="120">
        <f t="shared" si="591"/>
        <v>0</v>
      </c>
      <c r="AE197" s="120">
        <f t="shared" si="591"/>
        <v>0</v>
      </c>
      <c r="AF197" s="120">
        <f t="shared" si="591"/>
        <v>0</v>
      </c>
      <c r="AG197" s="428">
        <f t="shared" si="591"/>
        <v>0</v>
      </c>
    </row>
    <row r="198" spans="1:38" hidden="1" outlineLevel="2" x14ac:dyDescent="0.35">
      <c r="C198" s="126" t="s">
        <v>270</v>
      </c>
      <c r="D198" s="438"/>
      <c r="E198" s="438"/>
      <c r="F198" s="439"/>
      <c r="G198" s="439"/>
      <c r="H198" s="120"/>
      <c r="I198" s="391"/>
      <c r="J198" s="120"/>
      <c r="K198" s="120"/>
      <c r="L198" s="120"/>
      <c r="M198" s="120"/>
      <c r="N198" s="120"/>
      <c r="O198" s="391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>
        <f>PMT(X$21,20,X$78)</f>
        <v>0</v>
      </c>
      <c r="Z198" s="120">
        <f t="shared" si="591"/>
        <v>0</v>
      </c>
      <c r="AA198" s="120">
        <f t="shared" si="591"/>
        <v>0</v>
      </c>
      <c r="AB198" s="120">
        <f t="shared" si="591"/>
        <v>0</v>
      </c>
      <c r="AC198" s="120">
        <f t="shared" si="591"/>
        <v>0</v>
      </c>
      <c r="AD198" s="120">
        <f t="shared" si="591"/>
        <v>0</v>
      </c>
      <c r="AE198" s="120">
        <f t="shared" si="591"/>
        <v>0</v>
      </c>
      <c r="AF198" s="120">
        <f t="shared" si="591"/>
        <v>0</v>
      </c>
      <c r="AG198" s="428">
        <f t="shared" si="591"/>
        <v>0</v>
      </c>
    </row>
    <row r="199" spans="1:38" hidden="1" outlineLevel="2" x14ac:dyDescent="0.35">
      <c r="C199" s="126" t="s">
        <v>271</v>
      </c>
      <c r="D199" s="438"/>
      <c r="E199" s="438"/>
      <c r="F199" s="439"/>
      <c r="G199" s="439"/>
      <c r="H199" s="120"/>
      <c r="I199" s="391"/>
      <c r="J199" s="120"/>
      <c r="K199" s="120"/>
      <c r="L199" s="120"/>
      <c r="M199" s="120"/>
      <c r="N199" s="120"/>
      <c r="O199" s="391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>
        <f>PMT(Y$21,20,Y$78)</f>
        <v>0</v>
      </c>
      <c r="AA199" s="120">
        <f t="shared" si="591"/>
        <v>0</v>
      </c>
      <c r="AB199" s="120">
        <f t="shared" si="591"/>
        <v>0</v>
      </c>
      <c r="AC199" s="120">
        <f t="shared" si="591"/>
        <v>0</v>
      </c>
      <c r="AD199" s="120">
        <f t="shared" si="591"/>
        <v>0</v>
      </c>
      <c r="AE199" s="120">
        <f t="shared" si="591"/>
        <v>0</v>
      </c>
      <c r="AF199" s="120">
        <f t="shared" si="591"/>
        <v>0</v>
      </c>
      <c r="AG199" s="428">
        <f t="shared" si="591"/>
        <v>0</v>
      </c>
    </row>
    <row r="200" spans="1:38" hidden="1" outlineLevel="2" x14ac:dyDescent="0.35">
      <c r="C200" s="126" t="s">
        <v>272</v>
      </c>
      <c r="D200" s="438"/>
      <c r="E200" s="438"/>
      <c r="F200" s="439"/>
      <c r="G200" s="439"/>
      <c r="H200" s="120"/>
      <c r="I200" s="391"/>
      <c r="J200" s="120"/>
      <c r="K200" s="120"/>
      <c r="L200" s="120"/>
      <c r="M200" s="120"/>
      <c r="N200" s="120"/>
      <c r="O200" s="391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>
        <f>PMT(Z$21,20,Z$78)</f>
        <v>0</v>
      </c>
      <c r="AB200" s="120">
        <f t="shared" si="591"/>
        <v>0</v>
      </c>
      <c r="AC200" s="120">
        <f t="shared" si="591"/>
        <v>0</v>
      </c>
      <c r="AD200" s="120">
        <f t="shared" si="591"/>
        <v>0</v>
      </c>
      <c r="AE200" s="120">
        <f t="shared" si="591"/>
        <v>0</v>
      </c>
      <c r="AF200" s="120">
        <f t="shared" si="591"/>
        <v>0</v>
      </c>
      <c r="AG200" s="428">
        <f t="shared" si="591"/>
        <v>0</v>
      </c>
    </row>
    <row r="201" spans="1:38" hidden="1" outlineLevel="2" x14ac:dyDescent="0.35">
      <c r="C201" s="126" t="s">
        <v>273</v>
      </c>
      <c r="D201" s="438"/>
      <c r="E201" s="438"/>
      <c r="F201" s="439"/>
      <c r="G201" s="439"/>
      <c r="H201" s="120"/>
      <c r="I201" s="391"/>
      <c r="J201" s="120"/>
      <c r="K201" s="120"/>
      <c r="L201" s="120"/>
      <c r="M201" s="120"/>
      <c r="N201" s="120"/>
      <c r="O201" s="391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>
        <f>PMT(AA$21,20,AA$78)</f>
        <v>0</v>
      </c>
      <c r="AC201" s="120">
        <f t="shared" ref="AC201:AG205" si="593">AB201</f>
        <v>0</v>
      </c>
      <c r="AD201" s="120">
        <f t="shared" si="593"/>
        <v>0</v>
      </c>
      <c r="AE201" s="120">
        <f t="shared" si="593"/>
        <v>0</v>
      </c>
      <c r="AF201" s="120">
        <f t="shared" si="593"/>
        <v>0</v>
      </c>
      <c r="AG201" s="428">
        <f t="shared" si="593"/>
        <v>0</v>
      </c>
    </row>
    <row r="202" spans="1:38" hidden="1" outlineLevel="2" x14ac:dyDescent="0.35">
      <c r="C202" s="126" t="s">
        <v>274</v>
      </c>
      <c r="D202" s="438"/>
      <c r="E202" s="438"/>
      <c r="F202" s="439"/>
      <c r="G202" s="439"/>
      <c r="H202" s="120"/>
      <c r="I202" s="391"/>
      <c r="J202" s="120"/>
      <c r="K202" s="120"/>
      <c r="L202" s="120"/>
      <c r="M202" s="120"/>
      <c r="N202" s="120"/>
      <c r="O202" s="391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>
        <f>PMT(AB$21,20,AB$78)</f>
        <v>0</v>
      </c>
      <c r="AD202" s="120">
        <f t="shared" si="593"/>
        <v>0</v>
      </c>
      <c r="AE202" s="120">
        <f t="shared" si="593"/>
        <v>0</v>
      </c>
      <c r="AF202" s="120">
        <f t="shared" si="593"/>
        <v>0</v>
      </c>
      <c r="AG202" s="428">
        <f t="shared" si="593"/>
        <v>0</v>
      </c>
    </row>
    <row r="203" spans="1:38" hidden="1" outlineLevel="2" x14ac:dyDescent="0.35">
      <c r="C203" s="126" t="s">
        <v>275</v>
      </c>
      <c r="D203" s="438"/>
      <c r="E203" s="438"/>
      <c r="F203" s="439"/>
      <c r="G203" s="439"/>
      <c r="H203" s="120"/>
      <c r="I203" s="391"/>
      <c r="J203" s="120"/>
      <c r="K203" s="120"/>
      <c r="L203" s="120"/>
      <c r="M203" s="120"/>
      <c r="N203" s="120"/>
      <c r="O203" s="391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>
        <f>PMT(AC$21,20,AC$78)</f>
        <v>0</v>
      </c>
      <c r="AE203" s="120">
        <f t="shared" si="593"/>
        <v>0</v>
      </c>
      <c r="AF203" s="120">
        <f t="shared" si="593"/>
        <v>0</v>
      </c>
      <c r="AG203" s="428">
        <f t="shared" si="593"/>
        <v>0</v>
      </c>
    </row>
    <row r="204" spans="1:38" hidden="1" outlineLevel="2" x14ac:dyDescent="0.35">
      <c r="C204" s="126" t="s">
        <v>276</v>
      </c>
      <c r="D204" s="438"/>
      <c r="E204" s="438"/>
      <c r="F204" s="439"/>
      <c r="G204" s="439"/>
      <c r="H204" s="120"/>
      <c r="I204" s="391"/>
      <c r="J204" s="120"/>
      <c r="K204" s="120"/>
      <c r="L204" s="120"/>
      <c r="M204" s="120"/>
      <c r="N204" s="120"/>
      <c r="O204" s="391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>
        <f>PMT(AD$21,20,AD$78)</f>
        <v>0</v>
      </c>
      <c r="AF204" s="120">
        <f t="shared" si="593"/>
        <v>0</v>
      </c>
      <c r="AG204" s="428">
        <f t="shared" si="593"/>
        <v>0</v>
      </c>
    </row>
    <row r="205" spans="1:38" hidden="1" outlineLevel="2" x14ac:dyDescent="0.35">
      <c r="C205" s="126" t="s">
        <v>277</v>
      </c>
      <c r="D205" s="438"/>
      <c r="E205" s="438"/>
      <c r="F205" s="439"/>
      <c r="G205" s="439"/>
      <c r="H205" s="120"/>
      <c r="I205" s="391"/>
      <c r="J205" s="120"/>
      <c r="K205" s="120"/>
      <c r="L205" s="120"/>
      <c r="M205" s="120"/>
      <c r="N205" s="120"/>
      <c r="O205" s="391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>
        <f>PMT(AE$21,20,AE$78)</f>
        <v>-25.658851493789783</v>
      </c>
      <c r="AG205" s="428">
        <f t="shared" si="593"/>
        <v>-25.658851493789783</v>
      </c>
    </row>
    <row r="206" spans="1:38" hidden="1" outlineLevel="2" x14ac:dyDescent="0.35">
      <c r="C206" s="126" t="s">
        <v>278</v>
      </c>
      <c r="D206" s="438"/>
      <c r="E206" s="438"/>
      <c r="F206" s="439"/>
      <c r="G206" s="439"/>
      <c r="H206" s="120"/>
      <c r="I206" s="391"/>
      <c r="J206" s="120"/>
      <c r="K206" s="120"/>
      <c r="L206" s="120"/>
      <c r="M206" s="120"/>
      <c r="N206" s="120"/>
      <c r="O206" s="391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428">
        <f>PMT(AF$21,20,AF$78)</f>
        <v>0</v>
      </c>
    </row>
    <row r="207" spans="1:38" ht="15" hidden="1" outlineLevel="1" thickBot="1" x14ac:dyDescent="0.4">
      <c r="C207" s="440" t="s">
        <v>284</v>
      </c>
      <c r="D207" s="135"/>
      <c r="E207" s="135"/>
      <c r="F207" s="136">
        <f t="shared" ref="F207:K207" si="594">SUM(F179:F206)</f>
        <v>-53.738043568611012</v>
      </c>
      <c r="G207" s="136">
        <f t="shared" si="594"/>
        <v>-53.466615076691824</v>
      </c>
      <c r="H207" s="137">
        <f t="shared" si="594"/>
        <v>-53.937270054921292</v>
      </c>
      <c r="I207" s="388">
        <f t="shared" si="594"/>
        <v>-54.409242407648613</v>
      </c>
      <c r="J207" s="137">
        <f t="shared" si="594"/>
        <v>-60.863336740535516</v>
      </c>
      <c r="K207" s="137">
        <f t="shared" si="594"/>
        <v>-45.097049019593264</v>
      </c>
      <c r="L207" s="137">
        <f t="shared" ref="L207:AG207" si="595">SUM(L179:L206)</f>
        <v>-45.097049019593264</v>
      </c>
      <c r="M207" s="137">
        <f t="shared" si="595"/>
        <v>-51.818619779279175</v>
      </c>
      <c r="N207" s="137">
        <f t="shared" si="595"/>
        <v>-51.818619779279175</v>
      </c>
      <c r="O207" s="388">
        <f t="shared" si="595"/>
        <v>-51.818619779279175</v>
      </c>
      <c r="P207" s="137">
        <f t="shared" si="595"/>
        <v>-65.261761298650995</v>
      </c>
      <c r="Q207" s="137">
        <f t="shared" si="595"/>
        <v>-65.261761298650995</v>
      </c>
      <c r="R207" s="137">
        <f t="shared" si="595"/>
        <v>-65.261761298650995</v>
      </c>
      <c r="S207" s="137">
        <f t="shared" si="595"/>
        <v>-65.261761298650995</v>
      </c>
      <c r="T207" s="137">
        <f t="shared" si="595"/>
        <v>-65.261761298650995</v>
      </c>
      <c r="U207" s="137">
        <f t="shared" si="595"/>
        <v>-65.261761298650995</v>
      </c>
      <c r="V207" s="137">
        <f t="shared" si="595"/>
        <v>-65.261761298650995</v>
      </c>
      <c r="W207" s="137">
        <f t="shared" si="595"/>
        <v>-65.261761298650995</v>
      </c>
      <c r="X207" s="137">
        <f t="shared" si="595"/>
        <v>-65.261761298650995</v>
      </c>
      <c r="Y207" s="137">
        <f t="shared" si="595"/>
        <v>-65.261761298650995</v>
      </c>
      <c r="Z207" s="137">
        <f t="shared" si="595"/>
        <v>-65.261761298650995</v>
      </c>
      <c r="AA207" s="137">
        <f t="shared" si="595"/>
        <v>-65.261761298650995</v>
      </c>
      <c r="AB207" s="137">
        <f t="shared" si="595"/>
        <v>-65.261761298650995</v>
      </c>
      <c r="AC207" s="137">
        <f t="shared" si="595"/>
        <v>-65.261761298650995</v>
      </c>
      <c r="AD207" s="137">
        <f t="shared" si="595"/>
        <v>-58.540190538965092</v>
      </c>
      <c r="AE207" s="137">
        <f t="shared" si="595"/>
        <v>-38.375478259907354</v>
      </c>
      <c r="AF207" s="137">
        <f t="shared" si="595"/>
        <v>-64.034329753697136</v>
      </c>
      <c r="AG207" s="442">
        <f t="shared" si="595"/>
        <v>-57.312758994011226</v>
      </c>
    </row>
    <row r="208" spans="1:38" collapsed="1" x14ac:dyDescent="0.35">
      <c r="I208" s="14"/>
      <c r="O208" s="14"/>
      <c r="AG208" s="187"/>
    </row>
    <row r="209" spans="3:33" ht="15" thickBot="1" x14ac:dyDescent="0.4">
      <c r="C209" s="21" t="s">
        <v>105</v>
      </c>
      <c r="I209" s="14"/>
      <c r="O209" s="14"/>
      <c r="AG209" s="187"/>
    </row>
    <row r="210" spans="3:33" x14ac:dyDescent="0.35">
      <c r="C210" s="38" t="s">
        <v>106</v>
      </c>
      <c r="D210" s="138"/>
      <c r="E210" s="138"/>
      <c r="F210" s="133">
        <f t="shared" ref="F210:AG210" si="596">F107+F109</f>
        <v>60.7</v>
      </c>
      <c r="G210" s="133">
        <f t="shared" si="596"/>
        <v>72.618415145072532</v>
      </c>
      <c r="H210" s="133">
        <f t="shared" si="596"/>
        <v>86.006949057862272</v>
      </c>
      <c r="I210" s="387">
        <f t="shared" si="596"/>
        <v>106.22720835542459</v>
      </c>
      <c r="J210" s="133">
        <f t="shared" si="596"/>
        <v>106.75302126187785</v>
      </c>
      <c r="K210" s="133">
        <f t="shared" si="596"/>
        <v>108.02557311113478</v>
      </c>
      <c r="L210" s="133">
        <f t="shared" si="596"/>
        <v>112.78581735735391</v>
      </c>
      <c r="M210" s="133">
        <f t="shared" si="596"/>
        <v>114.04632024290669</v>
      </c>
      <c r="N210" s="133">
        <f t="shared" si="596"/>
        <v>115.0922306981343</v>
      </c>
      <c r="O210" s="387">
        <f t="shared" si="596"/>
        <v>119.85462094968935</v>
      </c>
      <c r="P210" s="133">
        <f t="shared" si="596"/>
        <v>120.87081154498699</v>
      </c>
      <c r="Q210" s="133">
        <f t="shared" si="596"/>
        <v>121.88700214028464</v>
      </c>
      <c r="R210" s="133">
        <f t="shared" si="596"/>
        <v>124.52596952263541</v>
      </c>
      <c r="S210" s="133">
        <f t="shared" si="596"/>
        <v>128.78771369203932</v>
      </c>
      <c r="T210" s="133">
        <f t="shared" si="596"/>
        <v>130.05795193616137</v>
      </c>
      <c r="U210" s="133">
        <f t="shared" si="596"/>
        <v>130.82009488263463</v>
      </c>
      <c r="V210" s="133">
        <f t="shared" si="596"/>
        <v>132.09033312675669</v>
      </c>
      <c r="W210" s="133">
        <f t="shared" si="596"/>
        <v>133.36057137087874</v>
      </c>
      <c r="X210" s="133">
        <f t="shared" si="596"/>
        <v>139.24509232733578</v>
      </c>
      <c r="Y210" s="133">
        <f t="shared" si="596"/>
        <v>140.00723527380902</v>
      </c>
      <c r="Z210" s="133">
        <f t="shared" si="596"/>
        <v>141.27747351793107</v>
      </c>
      <c r="AA210" s="133">
        <f t="shared" si="596"/>
        <v>142.54771176205315</v>
      </c>
      <c r="AB210" s="133">
        <f t="shared" si="596"/>
        <v>146.55540828263261</v>
      </c>
      <c r="AC210" s="133">
        <f t="shared" si="596"/>
        <v>147.82564652675467</v>
      </c>
      <c r="AD210" s="133">
        <f t="shared" si="596"/>
        <v>150.46461390910545</v>
      </c>
      <c r="AE210" s="133">
        <f t="shared" si="596"/>
        <v>151.73485215322751</v>
      </c>
      <c r="AF210" s="133">
        <f t="shared" si="596"/>
        <v>155.74254867380699</v>
      </c>
      <c r="AG210" s="425">
        <f t="shared" si="596"/>
        <v>157.01278691792908</v>
      </c>
    </row>
    <row r="211" spans="3:33" x14ac:dyDescent="0.35">
      <c r="C211" s="139" t="s">
        <v>136</v>
      </c>
      <c r="D211" s="140"/>
      <c r="E211" s="140"/>
      <c r="F211" s="141">
        <f>(0.5*F40)+(0.33*F41)+(0.33*F42)</f>
        <v>-73.656999999999996</v>
      </c>
      <c r="G211" s="141">
        <f>(0.5*G40)+(0.33*G41)+(0.33*G42)</f>
        <v>-95.47999999999999</v>
      </c>
      <c r="H211" s="141">
        <f t="shared" ref="H211:AG211" si="597">(0.5*H40)+(0.33*H41)+(0.33*H42)+(0.33*H43)</f>
        <v>-95.925000000000011</v>
      </c>
      <c r="I211" s="389">
        <f t="shared" si="597"/>
        <v>-101.8986</v>
      </c>
      <c r="J211" s="141">
        <f t="shared" si="597"/>
        <v>-105.97454400000001</v>
      </c>
      <c r="K211" s="141">
        <f t="shared" si="597"/>
        <v>-109.15378032</v>
      </c>
      <c r="L211" s="141">
        <f t="shared" si="597"/>
        <v>-112.4283937296</v>
      </c>
      <c r="M211" s="141">
        <f t="shared" si="597"/>
        <v>-114.67696160419203</v>
      </c>
      <c r="N211" s="141">
        <f t="shared" si="597"/>
        <v>-116.97050083627587</v>
      </c>
      <c r="O211" s="389">
        <f t="shared" si="597"/>
        <v>-119.3099108530014</v>
      </c>
      <c r="P211" s="141">
        <f t="shared" si="597"/>
        <v>-121.09955951579639</v>
      </c>
      <c r="Q211" s="141">
        <f t="shared" si="597"/>
        <v>-122.91605290853332</v>
      </c>
      <c r="R211" s="141">
        <f t="shared" si="597"/>
        <v>-124.7597937021613</v>
      </c>
      <c r="S211" s="141">
        <f t="shared" si="597"/>
        <v>-126.63119060769372</v>
      </c>
      <c r="T211" s="141">
        <f t="shared" si="597"/>
        <v>-128.53065846680911</v>
      </c>
      <c r="U211" s="141">
        <f t="shared" si="597"/>
        <v>-130.45861834381122</v>
      </c>
      <c r="V211" s="141">
        <f t="shared" si="597"/>
        <v>-132.4154976189684</v>
      </c>
      <c r="W211" s="141">
        <f t="shared" si="597"/>
        <v>-134.40173008325289</v>
      </c>
      <c r="X211" s="141">
        <f t="shared" si="597"/>
        <v>-136.41775603450168</v>
      </c>
      <c r="Y211" s="141">
        <f t="shared" si="597"/>
        <v>-138.46402237501923</v>
      </c>
      <c r="Z211" s="141">
        <f t="shared" si="597"/>
        <v>-140.54098271064447</v>
      </c>
      <c r="AA211" s="141">
        <f t="shared" si="597"/>
        <v>-142.64909745130413</v>
      </c>
      <c r="AB211" s="141">
        <f t="shared" si="597"/>
        <v>-144.78883391307369</v>
      </c>
      <c r="AC211" s="141">
        <f t="shared" si="597"/>
        <v>-146.96066642176976</v>
      </c>
      <c r="AD211" s="141">
        <f t="shared" si="597"/>
        <v>-149.16507641809631</v>
      </c>
      <c r="AE211" s="141">
        <f t="shared" si="597"/>
        <v>-151.40255256436774</v>
      </c>
      <c r="AF211" s="141">
        <f t="shared" si="597"/>
        <v>-153.67359085283326</v>
      </c>
      <c r="AG211" s="426">
        <f t="shared" si="597"/>
        <v>-155.97869471562572</v>
      </c>
    </row>
    <row r="212" spans="3:33" ht="15" thickBot="1" x14ac:dyDescent="0.4">
      <c r="C212" s="142" t="s">
        <v>107</v>
      </c>
      <c r="D212" s="143"/>
      <c r="E212" s="143"/>
      <c r="F212" s="144">
        <f t="shared" ref="F212" si="598">F211+F210</f>
        <v>-12.956999999999994</v>
      </c>
      <c r="G212" s="144">
        <f t="shared" ref="G212:L212" si="599">G211+G210</f>
        <v>-22.861584854927457</v>
      </c>
      <c r="H212" s="144">
        <f t="shared" si="599"/>
        <v>-9.9180509421377394</v>
      </c>
      <c r="I212" s="390">
        <f t="shared" si="599"/>
        <v>4.328608355424592</v>
      </c>
      <c r="J212" s="144">
        <f t="shared" si="599"/>
        <v>0.77847726187783906</v>
      </c>
      <c r="K212" s="144">
        <f t="shared" si="599"/>
        <v>-1.12820720886522</v>
      </c>
      <c r="L212" s="144">
        <f t="shared" si="599"/>
        <v>0.35742362775390291</v>
      </c>
      <c r="M212" s="144">
        <f t="shared" ref="M212:AG212" si="600">M211+M210</f>
        <v>-0.63064136128534187</v>
      </c>
      <c r="N212" s="144">
        <f t="shared" si="600"/>
        <v>-1.8782701381415734</v>
      </c>
      <c r="O212" s="390">
        <f t="shared" si="600"/>
        <v>0.54471009668795034</v>
      </c>
      <c r="P212" s="144">
        <f t="shared" si="600"/>
        <v>-0.22874797080939402</v>
      </c>
      <c r="Q212" s="144">
        <f t="shared" si="600"/>
        <v>-1.0290507682486805</v>
      </c>
      <c r="R212" s="144">
        <f t="shared" si="600"/>
        <v>-0.23382417952589662</v>
      </c>
      <c r="S212" s="144">
        <f t="shared" si="600"/>
        <v>2.1565230843455936</v>
      </c>
      <c r="T212" s="144">
        <f t="shared" si="600"/>
        <v>1.5272934693522586</v>
      </c>
      <c r="U212" s="144">
        <f t="shared" si="600"/>
        <v>0.36147653882341046</v>
      </c>
      <c r="V212" s="144">
        <f t="shared" si="600"/>
        <v>-0.32516449221171229</v>
      </c>
      <c r="W212" s="144">
        <f t="shared" si="600"/>
        <v>-1.0411587123741413</v>
      </c>
      <c r="X212" s="144">
        <f t="shared" si="600"/>
        <v>2.8273362928341044</v>
      </c>
      <c r="Y212" s="144">
        <f t="shared" si="600"/>
        <v>1.5432128987897897</v>
      </c>
      <c r="Z212" s="144">
        <f t="shared" si="600"/>
        <v>0.7364908072866001</v>
      </c>
      <c r="AA212" s="144">
        <f t="shared" si="600"/>
        <v>-0.10138568925097502</v>
      </c>
      <c r="AB212" s="144">
        <f t="shared" si="600"/>
        <v>1.7665743695589242</v>
      </c>
      <c r="AC212" s="144">
        <f t="shared" si="600"/>
        <v>0.86498010498490885</v>
      </c>
      <c r="AD212" s="144">
        <f t="shared" si="600"/>
        <v>1.2995374910091471</v>
      </c>
      <c r="AE212" s="144">
        <f t="shared" si="600"/>
        <v>0.33229958885976885</v>
      </c>
      <c r="AF212" s="144">
        <f t="shared" si="600"/>
        <v>2.0689578209737363</v>
      </c>
      <c r="AG212" s="427">
        <f t="shared" si="600"/>
        <v>1.0340922023033556</v>
      </c>
    </row>
    <row r="213" spans="3:33" ht="15" thickTop="1" x14ac:dyDescent="0.35">
      <c r="C213" s="146"/>
      <c r="D213" s="127"/>
      <c r="E213" s="127"/>
      <c r="G213" s="120"/>
      <c r="H213" s="120"/>
      <c r="I213" s="391"/>
      <c r="J213" s="120"/>
      <c r="K213" s="120"/>
      <c r="L213" s="120"/>
      <c r="M213" s="120"/>
      <c r="N213" s="120"/>
      <c r="O213" s="391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428"/>
    </row>
    <row r="214" spans="3:33" x14ac:dyDescent="0.35">
      <c r="C214" s="146" t="s">
        <v>135</v>
      </c>
      <c r="D214" s="127"/>
      <c r="E214" s="127"/>
      <c r="F214" s="120">
        <f t="shared" ref="F214:AG214" si="601">(0.001*(F34+F35))-F51</f>
        <v>132.846</v>
      </c>
      <c r="G214" s="120">
        <f t="shared" si="601"/>
        <v>137.47999999999999</v>
      </c>
      <c r="H214" s="120">
        <f t="shared" si="601"/>
        <v>142.1</v>
      </c>
      <c r="I214" s="391">
        <f t="shared" si="601"/>
        <v>155.58199999999999</v>
      </c>
      <c r="J214" s="120">
        <f t="shared" si="601"/>
        <v>156.62200000000001</v>
      </c>
      <c r="K214" s="120">
        <f t="shared" si="601"/>
        <v>158.33000000000001</v>
      </c>
      <c r="L214" s="120">
        <f t="shared" si="601"/>
        <v>165.45600000000002</v>
      </c>
      <c r="M214" s="120">
        <f t="shared" si="601"/>
        <v>166.74400000000003</v>
      </c>
      <c r="N214" s="120">
        <f t="shared" si="601"/>
        <v>168.70400000000001</v>
      </c>
      <c r="O214" s="391">
        <f t="shared" si="601"/>
        <v>175.37400000000002</v>
      </c>
      <c r="P214" s="120">
        <f t="shared" si="601"/>
        <v>176.70999999999998</v>
      </c>
      <c r="Q214" s="120">
        <f t="shared" si="601"/>
        <v>178.04599999999999</v>
      </c>
      <c r="R214" s="120">
        <f t="shared" si="601"/>
        <v>179.38200000000001</v>
      </c>
      <c r="S214" s="120">
        <f t="shared" si="601"/>
        <v>180.71800000000002</v>
      </c>
      <c r="T214" s="120">
        <f t="shared" si="601"/>
        <v>187.38800000000003</v>
      </c>
      <c r="U214" s="120">
        <f t="shared" si="601"/>
        <v>183.39</v>
      </c>
      <c r="V214" s="120">
        <f t="shared" si="601"/>
        <v>190.06</v>
      </c>
      <c r="W214" s="120">
        <f t="shared" si="601"/>
        <v>196.73000000000002</v>
      </c>
      <c r="X214" s="120">
        <f t="shared" si="601"/>
        <v>198.06600000000003</v>
      </c>
      <c r="Y214" s="120">
        <f t="shared" si="601"/>
        <v>194.06799999999998</v>
      </c>
      <c r="Z214" s="120">
        <f t="shared" si="601"/>
        <v>200.73800000000006</v>
      </c>
      <c r="AA214" s="120">
        <f t="shared" si="601"/>
        <v>207.40800000000002</v>
      </c>
      <c r="AB214" s="120">
        <f t="shared" si="601"/>
        <v>203.40999999999997</v>
      </c>
      <c r="AC214" s="120">
        <f t="shared" si="601"/>
        <v>210.08000000000004</v>
      </c>
      <c r="AD214" s="120">
        <f t="shared" si="601"/>
        <v>211.41600000000005</v>
      </c>
      <c r="AE214" s="120">
        <f t="shared" si="601"/>
        <v>218.08600000000001</v>
      </c>
      <c r="AF214" s="120">
        <f t="shared" si="601"/>
        <v>214.08799999999997</v>
      </c>
      <c r="AG214" s="428">
        <f t="shared" si="601"/>
        <v>220.75800000000004</v>
      </c>
    </row>
    <row r="215" spans="3:33" x14ac:dyDescent="0.35">
      <c r="C215" s="139" t="s">
        <v>137</v>
      </c>
      <c r="D215" s="140"/>
      <c r="E215" s="140"/>
      <c r="F215" s="141">
        <f>(0.5*F40)+(0.67*F41)+(0.67*F42)+F43+F44</f>
        <v>-111.54299999999999</v>
      </c>
      <c r="G215" s="141">
        <f>(0.5*G40)+(0.67*G41)+(0.67*G42)+G43+G44</f>
        <v>-148.52000000000001</v>
      </c>
      <c r="H215" s="141">
        <f t="shared" ref="H215:AG215" si="602">(0.5*H40)+(0.67*H41)+(0.67*H42)+(0.67*H43)+H44</f>
        <v>-130.77500000000001</v>
      </c>
      <c r="I215" s="389">
        <f t="shared" si="602"/>
        <v>-150.42140000000001</v>
      </c>
      <c r="J215" s="141">
        <f t="shared" si="602"/>
        <v>-155.95825600000003</v>
      </c>
      <c r="K215" s="141">
        <f t="shared" si="602"/>
        <v>-160.27700368000001</v>
      </c>
      <c r="L215" s="141">
        <f t="shared" si="602"/>
        <v>-164.72531379040001</v>
      </c>
      <c r="M215" s="141">
        <f t="shared" si="602"/>
        <v>-167.779820066208</v>
      </c>
      <c r="N215" s="141">
        <f t="shared" si="602"/>
        <v>-170.89541646753219</v>
      </c>
      <c r="O215" s="389">
        <f t="shared" si="602"/>
        <v>-174.07332479688284</v>
      </c>
      <c r="P215" s="141">
        <f t="shared" si="602"/>
        <v>-176.50442466883607</v>
      </c>
      <c r="Q215" s="141">
        <f t="shared" si="602"/>
        <v>-178.97199103886859</v>
      </c>
      <c r="R215" s="141">
        <f t="shared" si="602"/>
        <v>-181.47657090445159</v>
      </c>
      <c r="S215" s="141">
        <f t="shared" si="602"/>
        <v>-184.01871946801836</v>
      </c>
      <c r="T215" s="141">
        <f t="shared" si="602"/>
        <v>-186.59900026003862</v>
      </c>
      <c r="U215" s="141">
        <f t="shared" si="602"/>
        <v>-189.21798526393917</v>
      </c>
      <c r="V215" s="141">
        <f t="shared" si="602"/>
        <v>-191.87625504289826</v>
      </c>
      <c r="W215" s="141">
        <f t="shared" si="602"/>
        <v>-194.57439886854172</v>
      </c>
      <c r="X215" s="141">
        <f t="shared" si="602"/>
        <v>-197.31301485156982</v>
      </c>
      <c r="Y215" s="141">
        <f t="shared" si="602"/>
        <v>-200.09271007434336</v>
      </c>
      <c r="Z215" s="141">
        <f t="shared" si="602"/>
        <v>-202.91410072545847</v>
      </c>
      <c r="AA215" s="141">
        <f t="shared" si="602"/>
        <v>-205.77781223634037</v>
      </c>
      <c r="AB215" s="141">
        <f t="shared" si="602"/>
        <v>-208.68447941988543</v>
      </c>
      <c r="AC215" s="141">
        <f t="shared" si="602"/>
        <v>-211.63474661118372</v>
      </c>
      <c r="AD215" s="141">
        <f t="shared" si="602"/>
        <v>-214.62926781035145</v>
      </c>
      <c r="AE215" s="141">
        <f t="shared" si="602"/>
        <v>-217.6687068275067</v>
      </c>
      <c r="AF215" s="141">
        <f t="shared" si="602"/>
        <v>-220.75373742991928</v>
      </c>
      <c r="AG215" s="426">
        <f t="shared" si="602"/>
        <v>-223.88504349136804</v>
      </c>
    </row>
    <row r="216" spans="3:33" ht="15" thickBot="1" x14ac:dyDescent="0.4">
      <c r="C216" s="142" t="s">
        <v>108</v>
      </c>
      <c r="D216" s="143"/>
      <c r="E216" s="143"/>
      <c r="F216" s="144">
        <f>F215+F214</f>
        <v>21.303000000000011</v>
      </c>
      <c r="G216" s="144">
        <f>G215+G214</f>
        <v>-11.04000000000002</v>
      </c>
      <c r="H216" s="144">
        <f t="shared" ref="H216:L216" si="603">H215+H214</f>
        <v>11.324999999999989</v>
      </c>
      <c r="I216" s="390">
        <f t="shared" si="603"/>
        <v>5.1605999999999881</v>
      </c>
      <c r="J216" s="144">
        <f t="shared" si="603"/>
        <v>0.66374399999997991</v>
      </c>
      <c r="K216" s="144">
        <f t="shared" si="603"/>
        <v>-1.9470036799999946</v>
      </c>
      <c r="L216" s="144">
        <f t="shared" si="603"/>
        <v>0.73068620960000885</v>
      </c>
      <c r="M216" s="144">
        <f t="shared" ref="M216:AG216" si="604">M215+M214</f>
        <v>-1.0358200662079753</v>
      </c>
      <c r="N216" s="144">
        <f t="shared" si="604"/>
        <v>-2.1914164675321786</v>
      </c>
      <c r="O216" s="390">
        <f t="shared" si="604"/>
        <v>1.30067520311718</v>
      </c>
      <c r="P216" s="144">
        <f t="shared" si="604"/>
        <v>0.20557533116391369</v>
      </c>
      <c r="Q216" s="144">
        <f t="shared" si="604"/>
        <v>-0.92599103886860235</v>
      </c>
      <c r="R216" s="144">
        <f t="shared" si="604"/>
        <v>-2.0945709044515866</v>
      </c>
      <c r="S216" s="144">
        <f t="shared" si="604"/>
        <v>-3.3007194680183432</v>
      </c>
      <c r="T216" s="144">
        <f t="shared" si="604"/>
        <v>0.78899973996141171</v>
      </c>
      <c r="U216" s="144">
        <f t="shared" si="604"/>
        <v>-5.8279852639391834</v>
      </c>
      <c r="V216" s="144">
        <f t="shared" si="604"/>
        <v>-1.8162550428982627</v>
      </c>
      <c r="W216" s="144">
        <f t="shared" si="604"/>
        <v>2.1556011314582975</v>
      </c>
      <c r="X216" s="144">
        <f t="shared" si="604"/>
        <v>0.7529851484302128</v>
      </c>
      <c r="Y216" s="144">
        <f t="shared" si="604"/>
        <v>-6.0247100743433748</v>
      </c>
      <c r="Z216" s="144">
        <f t="shared" si="604"/>
        <v>-2.1761007254584115</v>
      </c>
      <c r="AA216" s="144">
        <f t="shared" si="604"/>
        <v>1.6301877636596487</v>
      </c>
      <c r="AB216" s="144">
        <f t="shared" si="604"/>
        <v>-5.2744794198854663</v>
      </c>
      <c r="AC216" s="144">
        <f t="shared" si="604"/>
        <v>-1.5547466111836741</v>
      </c>
      <c r="AD216" s="144">
        <f t="shared" si="604"/>
        <v>-3.2132678103513967</v>
      </c>
      <c r="AE216" s="144">
        <f t="shared" si="604"/>
        <v>0.41729317249331643</v>
      </c>
      <c r="AF216" s="144">
        <f t="shared" si="604"/>
        <v>-6.6657374299193179</v>
      </c>
      <c r="AG216" s="427">
        <f t="shared" si="604"/>
        <v>-3.1270434913679992</v>
      </c>
    </row>
    <row r="217" spans="3:33" ht="15" thickTop="1" x14ac:dyDescent="0.35">
      <c r="C217" s="146"/>
      <c r="D217" s="127"/>
      <c r="E217" s="127"/>
      <c r="G217" s="120"/>
      <c r="H217" s="120"/>
      <c r="I217" s="391"/>
      <c r="J217" s="120"/>
      <c r="K217" s="120"/>
      <c r="L217" s="120"/>
      <c r="M217" s="120"/>
      <c r="N217" s="120"/>
      <c r="O217" s="391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428"/>
    </row>
    <row r="218" spans="3:33" x14ac:dyDescent="0.35">
      <c r="C218" s="146" t="s">
        <v>134</v>
      </c>
      <c r="D218" s="127"/>
      <c r="E218" s="127"/>
      <c r="F218" s="120">
        <f t="shared" ref="F218:AG218" si="605">F75+F76+F77+F51</f>
        <v>118.1</v>
      </c>
      <c r="G218" s="120">
        <f t="shared" si="605"/>
        <v>147.19999999999999</v>
      </c>
      <c r="H218" s="120">
        <f t="shared" si="605"/>
        <v>133.42400000000001</v>
      </c>
      <c r="I218" s="391">
        <f t="shared" si="605"/>
        <v>151.81</v>
      </c>
      <c r="J218" s="120">
        <f t="shared" si="605"/>
        <v>206.018</v>
      </c>
      <c r="K218" s="120">
        <f t="shared" si="605"/>
        <v>245.00199999999998</v>
      </c>
      <c r="L218" s="120">
        <f t="shared" si="605"/>
        <v>289.47200000000004</v>
      </c>
      <c r="M218" s="120">
        <f t="shared" si="605"/>
        <v>308.60000000000002</v>
      </c>
      <c r="N218" s="120">
        <f t="shared" si="605"/>
        <v>367.39200000000005</v>
      </c>
      <c r="O218" s="391">
        <f t="shared" si="605"/>
        <v>387.04200000000003</v>
      </c>
      <c r="P218" s="120">
        <f t="shared" si="605"/>
        <v>425.87</v>
      </c>
      <c r="Q218" s="120">
        <f t="shared" si="605"/>
        <v>447.52599999999995</v>
      </c>
      <c r="R218" s="120">
        <f t="shared" si="605"/>
        <v>469.18199999999996</v>
      </c>
      <c r="S218" s="120">
        <f t="shared" si="605"/>
        <v>490.83799999999997</v>
      </c>
      <c r="T218" s="120">
        <f t="shared" si="605"/>
        <v>512.9079999999999</v>
      </c>
      <c r="U218" s="120">
        <f t="shared" si="605"/>
        <v>534.15</v>
      </c>
      <c r="V218" s="120">
        <f t="shared" si="605"/>
        <v>556.22</v>
      </c>
      <c r="W218" s="120">
        <f t="shared" si="605"/>
        <v>578.29</v>
      </c>
      <c r="X218" s="120">
        <f t="shared" si="605"/>
        <v>599.94599999999991</v>
      </c>
      <c r="Y218" s="120">
        <f t="shared" si="605"/>
        <v>621.18799999999999</v>
      </c>
      <c r="Z218" s="120">
        <f t="shared" si="605"/>
        <v>643.25800000000004</v>
      </c>
      <c r="AA218" s="120">
        <f t="shared" si="605"/>
        <v>665.32799999999997</v>
      </c>
      <c r="AB218" s="120">
        <f t="shared" si="605"/>
        <v>686.56999999999994</v>
      </c>
      <c r="AC218" s="120">
        <f t="shared" si="605"/>
        <v>708.64</v>
      </c>
      <c r="AD218" s="120">
        <f t="shared" si="605"/>
        <v>730.29600000000005</v>
      </c>
      <c r="AE218" s="120">
        <f t="shared" si="605"/>
        <v>752.36599999999999</v>
      </c>
      <c r="AF218" s="120">
        <f t="shared" si="605"/>
        <v>773.60799999999995</v>
      </c>
      <c r="AG218" s="428">
        <f t="shared" si="605"/>
        <v>795.678</v>
      </c>
    </row>
    <row r="219" spans="3:33" x14ac:dyDescent="0.35">
      <c r="C219" s="139" t="s">
        <v>109</v>
      </c>
      <c r="D219" s="140"/>
      <c r="E219" s="140"/>
      <c r="F219" s="141">
        <f t="shared" ref="F219:AG219" si="606">F78+F52</f>
        <v>250</v>
      </c>
      <c r="G219" s="141">
        <f t="shared" si="606"/>
        <v>0</v>
      </c>
      <c r="H219" s="141">
        <f t="shared" si="606"/>
        <v>30</v>
      </c>
      <c r="I219" s="389">
        <f t="shared" si="606"/>
        <v>170</v>
      </c>
      <c r="J219" s="141">
        <f t="shared" si="606"/>
        <v>425</v>
      </c>
      <c r="K219" s="141">
        <f t="shared" si="606"/>
        <v>0</v>
      </c>
      <c r="L219" s="141">
        <f t="shared" si="606"/>
        <v>250</v>
      </c>
      <c r="M219" s="141">
        <f t="shared" si="606"/>
        <v>0</v>
      </c>
      <c r="N219" s="141">
        <f t="shared" si="606"/>
        <v>0</v>
      </c>
      <c r="O219" s="389">
        <f t="shared" si="606"/>
        <v>500</v>
      </c>
      <c r="P219" s="141">
        <f t="shared" si="606"/>
        <v>0</v>
      </c>
      <c r="Q219" s="141">
        <f t="shared" si="606"/>
        <v>0</v>
      </c>
      <c r="R219" s="141">
        <f t="shared" si="606"/>
        <v>400</v>
      </c>
      <c r="S219" s="141">
        <f t="shared" si="606"/>
        <v>0</v>
      </c>
      <c r="T219" s="141">
        <f t="shared" si="606"/>
        <v>0</v>
      </c>
      <c r="U219" s="141">
        <f t="shared" si="606"/>
        <v>0</v>
      </c>
      <c r="V219" s="141">
        <f t="shared" si="606"/>
        <v>350</v>
      </c>
      <c r="W219" s="141">
        <f t="shared" si="606"/>
        <v>0</v>
      </c>
      <c r="X219" s="141">
        <f t="shared" si="606"/>
        <v>0</v>
      </c>
      <c r="Y219" s="141">
        <f t="shared" si="606"/>
        <v>0</v>
      </c>
      <c r="Z219" s="141">
        <f t="shared" si="606"/>
        <v>400</v>
      </c>
      <c r="AA219" s="141">
        <f t="shared" si="606"/>
        <v>0</v>
      </c>
      <c r="AB219" s="141">
        <f t="shared" si="606"/>
        <v>0</v>
      </c>
      <c r="AC219" s="141">
        <f t="shared" si="606"/>
        <v>0</v>
      </c>
      <c r="AD219" s="141">
        <f t="shared" si="606"/>
        <v>0</v>
      </c>
      <c r="AE219" s="141">
        <f t="shared" si="606"/>
        <v>400</v>
      </c>
      <c r="AF219" s="141">
        <f t="shared" si="606"/>
        <v>0</v>
      </c>
      <c r="AG219" s="426">
        <f t="shared" si="606"/>
        <v>0</v>
      </c>
    </row>
    <row r="220" spans="3:33" x14ac:dyDescent="0.35">
      <c r="C220" s="146" t="s">
        <v>110</v>
      </c>
      <c r="D220" s="127"/>
      <c r="E220" s="127"/>
      <c r="F220" s="120">
        <f t="shared" ref="F220" si="607">SUM(F218:F219)</f>
        <v>368.1</v>
      </c>
      <c r="G220" s="120">
        <f t="shared" ref="G220:L220" si="608">SUM(G218:G219)</f>
        <v>147.19999999999999</v>
      </c>
      <c r="H220" s="120">
        <f t="shared" si="608"/>
        <v>163.42400000000001</v>
      </c>
      <c r="I220" s="391">
        <f t="shared" si="608"/>
        <v>321.81</v>
      </c>
      <c r="J220" s="120">
        <f t="shared" si="608"/>
        <v>631.01800000000003</v>
      </c>
      <c r="K220" s="120">
        <f t="shared" si="608"/>
        <v>245.00199999999998</v>
      </c>
      <c r="L220" s="120">
        <f t="shared" si="608"/>
        <v>539.47199999999998</v>
      </c>
      <c r="M220" s="120">
        <f t="shared" ref="M220:AG220" si="609">SUM(M218:M219)</f>
        <v>308.60000000000002</v>
      </c>
      <c r="N220" s="120">
        <f t="shared" si="609"/>
        <v>367.39200000000005</v>
      </c>
      <c r="O220" s="391">
        <f t="shared" si="609"/>
        <v>887.04200000000003</v>
      </c>
      <c r="P220" s="120">
        <f t="shared" si="609"/>
        <v>425.87</v>
      </c>
      <c r="Q220" s="120">
        <f t="shared" si="609"/>
        <v>447.52599999999995</v>
      </c>
      <c r="R220" s="120">
        <f t="shared" si="609"/>
        <v>869.18200000000002</v>
      </c>
      <c r="S220" s="120">
        <f t="shared" si="609"/>
        <v>490.83799999999997</v>
      </c>
      <c r="T220" s="120">
        <f t="shared" si="609"/>
        <v>512.9079999999999</v>
      </c>
      <c r="U220" s="120">
        <f t="shared" si="609"/>
        <v>534.15</v>
      </c>
      <c r="V220" s="120">
        <f t="shared" si="609"/>
        <v>906.22</v>
      </c>
      <c r="W220" s="120">
        <f t="shared" si="609"/>
        <v>578.29</v>
      </c>
      <c r="X220" s="120">
        <f t="shared" si="609"/>
        <v>599.94599999999991</v>
      </c>
      <c r="Y220" s="120">
        <f t="shared" si="609"/>
        <v>621.18799999999999</v>
      </c>
      <c r="Z220" s="120">
        <f t="shared" si="609"/>
        <v>1043.258</v>
      </c>
      <c r="AA220" s="120">
        <f t="shared" si="609"/>
        <v>665.32799999999997</v>
      </c>
      <c r="AB220" s="120">
        <f t="shared" si="609"/>
        <v>686.56999999999994</v>
      </c>
      <c r="AC220" s="120">
        <f t="shared" si="609"/>
        <v>708.64</v>
      </c>
      <c r="AD220" s="120">
        <f t="shared" si="609"/>
        <v>730.29600000000005</v>
      </c>
      <c r="AE220" s="120">
        <f t="shared" si="609"/>
        <v>1152.366</v>
      </c>
      <c r="AF220" s="120">
        <f t="shared" si="609"/>
        <v>773.60799999999995</v>
      </c>
      <c r="AG220" s="428">
        <f t="shared" si="609"/>
        <v>795.678</v>
      </c>
    </row>
    <row r="221" spans="3:33" x14ac:dyDescent="0.35">
      <c r="C221" s="139" t="s">
        <v>111</v>
      </c>
      <c r="D221" s="140"/>
      <c r="E221" s="140"/>
      <c r="F221" s="141">
        <f t="shared" ref="F221:AG221" si="610">F53+F54+F79+F80</f>
        <v>-717.53804356861099</v>
      </c>
      <c r="G221" s="141">
        <f t="shared" si="610"/>
        <v>-96.366615076691829</v>
      </c>
      <c r="H221" s="141">
        <f t="shared" si="610"/>
        <v>-133.91727005492129</v>
      </c>
      <c r="I221" s="389">
        <f t="shared" si="610"/>
        <v>-269.52007471113939</v>
      </c>
      <c r="J221" s="141">
        <f t="shared" si="610"/>
        <v>-610.16926857580643</v>
      </c>
      <c r="K221" s="141">
        <f t="shared" si="610"/>
        <v>-153.8149443044716</v>
      </c>
      <c r="L221" s="141">
        <f t="shared" si="610"/>
        <v>-357.11494430447163</v>
      </c>
      <c r="M221" s="141">
        <f t="shared" si="610"/>
        <v>-208.21887120368635</v>
      </c>
      <c r="N221" s="141">
        <f t="shared" si="610"/>
        <v>-210.51887120368633</v>
      </c>
      <c r="O221" s="389">
        <f t="shared" si="610"/>
        <v>-799.74387120368635</v>
      </c>
      <c r="P221" s="141">
        <f t="shared" si="610"/>
        <v>-664.07672500211584</v>
      </c>
      <c r="Q221" s="141">
        <f t="shared" si="610"/>
        <v>-249.30172500211592</v>
      </c>
      <c r="R221" s="141">
        <f t="shared" si="610"/>
        <v>-800.02672500211588</v>
      </c>
      <c r="S221" s="141">
        <f t="shared" si="610"/>
        <v>-241.36057649590569</v>
      </c>
      <c r="T221" s="141">
        <f t="shared" si="610"/>
        <v>-655.13557649590575</v>
      </c>
      <c r="U221" s="141">
        <f t="shared" si="610"/>
        <v>-345.11057649590572</v>
      </c>
      <c r="V221" s="141">
        <f t="shared" si="610"/>
        <v>-936.38557649590564</v>
      </c>
      <c r="W221" s="141">
        <f t="shared" si="610"/>
        <v>-385.46207155297179</v>
      </c>
      <c r="X221" s="141">
        <f t="shared" si="610"/>
        <v>-781.08707155297179</v>
      </c>
      <c r="Y221" s="141">
        <f t="shared" si="610"/>
        <v>-377.46207155297179</v>
      </c>
      <c r="Z221" s="141">
        <f t="shared" si="610"/>
        <v>-1049.9370715529717</v>
      </c>
      <c r="AA221" s="141">
        <f t="shared" si="610"/>
        <v>-624.87092304676162</v>
      </c>
      <c r="AB221" s="141">
        <f t="shared" si="610"/>
        <v>-259.84592304676153</v>
      </c>
      <c r="AC221" s="141">
        <f t="shared" si="610"/>
        <v>-664.54082351498141</v>
      </c>
      <c r="AD221" s="141">
        <f t="shared" si="610"/>
        <v>-822.6672893056882</v>
      </c>
      <c r="AE221" s="141">
        <f t="shared" si="610"/>
        <v>-1234.0525770266306</v>
      </c>
      <c r="AF221" s="141">
        <f t="shared" si="610"/>
        <v>-789.27907238089142</v>
      </c>
      <c r="AG221" s="426">
        <f t="shared" si="610"/>
        <v>-709.68250162120546</v>
      </c>
    </row>
    <row r="222" spans="3:33" ht="15" thickBot="1" x14ac:dyDescent="0.4">
      <c r="C222" s="142" t="s">
        <v>112</v>
      </c>
      <c r="D222" s="143"/>
      <c r="E222" s="143"/>
      <c r="F222" s="144">
        <f>F221+F220</f>
        <v>-349.43804356861096</v>
      </c>
      <c r="G222" s="144">
        <f>G221+G220</f>
        <v>50.833384923308159</v>
      </c>
      <c r="H222" s="144">
        <f t="shared" ref="H222:L222" si="611">H221+H220</f>
        <v>29.506729945078717</v>
      </c>
      <c r="I222" s="390">
        <f t="shared" si="611"/>
        <v>52.289925288860616</v>
      </c>
      <c r="J222" s="144">
        <f t="shared" si="611"/>
        <v>20.848731424193602</v>
      </c>
      <c r="K222" s="144">
        <f t="shared" si="611"/>
        <v>91.187055695528386</v>
      </c>
      <c r="L222" s="144">
        <f t="shared" si="611"/>
        <v>182.35705569552835</v>
      </c>
      <c r="M222" s="144">
        <f t="shared" ref="M222:AG222" si="612">M221+M220</f>
        <v>100.38112879631367</v>
      </c>
      <c r="N222" s="144">
        <f t="shared" si="612"/>
        <v>156.87312879631372</v>
      </c>
      <c r="O222" s="390">
        <f t="shared" si="612"/>
        <v>87.298128796313677</v>
      </c>
      <c r="P222" s="144">
        <f t="shared" si="612"/>
        <v>-238.20672500211583</v>
      </c>
      <c r="Q222" s="144">
        <f t="shared" si="612"/>
        <v>198.22427499788404</v>
      </c>
      <c r="R222" s="144">
        <f t="shared" si="612"/>
        <v>69.155274997884135</v>
      </c>
      <c r="S222" s="144">
        <f t="shared" si="612"/>
        <v>249.47742350409428</v>
      </c>
      <c r="T222" s="144">
        <f t="shared" si="612"/>
        <v>-142.22757649590585</v>
      </c>
      <c r="U222" s="144">
        <f t="shared" si="612"/>
        <v>189.03942350409426</v>
      </c>
      <c r="V222" s="144">
        <f t="shared" si="612"/>
        <v>-30.165576495905611</v>
      </c>
      <c r="W222" s="144">
        <f t="shared" si="612"/>
        <v>192.82792844702817</v>
      </c>
      <c r="X222" s="144">
        <f t="shared" si="612"/>
        <v>-181.14107155297188</v>
      </c>
      <c r="Y222" s="144">
        <f t="shared" si="612"/>
        <v>243.7259284470282</v>
      </c>
      <c r="Z222" s="144">
        <f t="shared" si="612"/>
        <v>-6.6790715529716636</v>
      </c>
      <c r="AA222" s="144">
        <f t="shared" si="612"/>
        <v>40.457076953238357</v>
      </c>
      <c r="AB222" s="144">
        <f t="shared" si="612"/>
        <v>426.72407695323841</v>
      </c>
      <c r="AC222" s="144">
        <f t="shared" si="612"/>
        <v>44.099176485018575</v>
      </c>
      <c r="AD222" s="144">
        <f t="shared" si="612"/>
        <v>-92.371289305688151</v>
      </c>
      <c r="AE222" s="144">
        <f t="shared" si="612"/>
        <v>-81.68657702663063</v>
      </c>
      <c r="AF222" s="144">
        <f t="shared" si="612"/>
        <v>-15.671072380891474</v>
      </c>
      <c r="AG222" s="427">
        <f t="shared" si="612"/>
        <v>85.995498378794537</v>
      </c>
    </row>
    <row r="223" spans="3:33" ht="15" thickTop="1" x14ac:dyDescent="0.35">
      <c r="C223" s="147"/>
      <c r="D223" s="148"/>
      <c r="E223" s="148"/>
      <c r="F223" s="149"/>
      <c r="G223" s="149"/>
      <c r="H223" s="149"/>
      <c r="I223" s="392"/>
      <c r="J223" s="149"/>
      <c r="K223" s="149"/>
      <c r="L223" s="149"/>
      <c r="M223" s="149"/>
      <c r="N223" s="149"/>
      <c r="O223" s="392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429"/>
    </row>
    <row r="224" spans="3:33" ht="15" thickBot="1" x14ac:dyDescent="0.4">
      <c r="C224" s="150" t="s">
        <v>236</v>
      </c>
      <c r="D224" s="151"/>
      <c r="E224" s="151"/>
      <c r="F224" s="152">
        <f t="shared" ref="F224" si="613">F222+F216+F212</f>
        <v>-341.09204356861096</v>
      </c>
      <c r="G224" s="152">
        <f t="shared" ref="G224:L224" si="614">G222+G216+G212</f>
        <v>16.931800068380682</v>
      </c>
      <c r="H224" s="152">
        <f t="shared" si="614"/>
        <v>30.913679002940967</v>
      </c>
      <c r="I224" s="393">
        <f t="shared" si="614"/>
        <v>61.779133644285196</v>
      </c>
      <c r="J224" s="152">
        <f t="shared" si="614"/>
        <v>22.290952686071421</v>
      </c>
      <c r="K224" s="152">
        <f t="shared" si="614"/>
        <v>88.111844806663171</v>
      </c>
      <c r="L224" s="152">
        <f t="shared" si="614"/>
        <v>183.44516553288224</v>
      </c>
      <c r="M224" s="152">
        <f t="shared" ref="M224:AG224" si="615">M222+M216+M212</f>
        <v>98.714667368820358</v>
      </c>
      <c r="N224" s="152">
        <f t="shared" si="615"/>
        <v>152.80344219063997</v>
      </c>
      <c r="O224" s="393">
        <f t="shared" si="615"/>
        <v>89.143514096118807</v>
      </c>
      <c r="P224" s="152">
        <f t="shared" si="615"/>
        <v>-238.22989764176131</v>
      </c>
      <c r="Q224" s="152">
        <f t="shared" si="615"/>
        <v>196.26923319076676</v>
      </c>
      <c r="R224" s="152">
        <f t="shared" si="615"/>
        <v>66.826879913906652</v>
      </c>
      <c r="S224" s="152">
        <f t="shared" si="615"/>
        <v>248.33322712042153</v>
      </c>
      <c r="T224" s="152">
        <f t="shared" si="615"/>
        <v>-139.91128328659218</v>
      </c>
      <c r="U224" s="152">
        <f t="shared" si="615"/>
        <v>183.57291477897849</v>
      </c>
      <c r="V224" s="152">
        <f t="shared" si="615"/>
        <v>-32.306996031015586</v>
      </c>
      <c r="W224" s="152">
        <f t="shared" si="615"/>
        <v>193.94237086611233</v>
      </c>
      <c r="X224" s="152">
        <f t="shared" si="615"/>
        <v>-177.56075011170756</v>
      </c>
      <c r="Y224" s="152">
        <f t="shared" si="615"/>
        <v>239.24443127147461</v>
      </c>
      <c r="Z224" s="152">
        <f t="shared" si="615"/>
        <v>-8.1186814711434749</v>
      </c>
      <c r="AA224" s="152">
        <f t="shared" si="615"/>
        <v>41.98587902764703</v>
      </c>
      <c r="AB224" s="152">
        <f t="shared" si="615"/>
        <v>423.21617190291192</v>
      </c>
      <c r="AC224" s="152">
        <f t="shared" si="615"/>
        <v>43.409409978819809</v>
      </c>
      <c r="AD224" s="152">
        <f t="shared" si="615"/>
        <v>-94.285019625030401</v>
      </c>
      <c r="AE224" s="152">
        <f t="shared" si="615"/>
        <v>-80.936984265277545</v>
      </c>
      <c r="AF224" s="152">
        <f t="shared" si="615"/>
        <v>-20.267851989837055</v>
      </c>
      <c r="AG224" s="430">
        <f t="shared" si="615"/>
        <v>83.902547089729893</v>
      </c>
    </row>
    <row r="225" spans="6:33" ht="15" thickBot="1" x14ac:dyDescent="0.4">
      <c r="F225" s="120">
        <f>E116+F224</f>
        <v>-341.09204356861096</v>
      </c>
      <c r="G225" s="120">
        <f>F116+G224</f>
        <v>255.33975649976963</v>
      </c>
      <c r="H225" s="120">
        <f>G225+H224</f>
        <v>286.2534355027106</v>
      </c>
      <c r="I225" s="388">
        <f t="shared" ref="I225:AG225" si="616">H225+I224</f>
        <v>348.0325691469958</v>
      </c>
      <c r="J225" s="120">
        <f t="shared" si="616"/>
        <v>370.32352183306722</v>
      </c>
      <c r="K225" s="120">
        <f t="shared" si="616"/>
        <v>458.43536663973038</v>
      </c>
      <c r="L225" s="120">
        <f t="shared" si="616"/>
        <v>641.88053217261267</v>
      </c>
      <c r="M225" s="120">
        <f t="shared" si="616"/>
        <v>740.59519954143298</v>
      </c>
      <c r="N225" s="120">
        <f t="shared" si="616"/>
        <v>893.39864173207297</v>
      </c>
      <c r="O225" s="388">
        <f t="shared" si="616"/>
        <v>982.54215582819177</v>
      </c>
      <c r="P225" s="120">
        <f>O225+P224</f>
        <v>744.31225818643043</v>
      </c>
      <c r="Q225" s="120">
        <f t="shared" si="616"/>
        <v>940.58149137719715</v>
      </c>
      <c r="R225" s="120">
        <f t="shared" si="616"/>
        <v>1007.4083712911038</v>
      </c>
      <c r="S225" s="120">
        <f t="shared" si="616"/>
        <v>1255.7415984115253</v>
      </c>
      <c r="T225" s="120">
        <f t="shared" si="616"/>
        <v>1115.8303151249331</v>
      </c>
      <c r="U225" s="120">
        <f t="shared" si="616"/>
        <v>1299.4032299039116</v>
      </c>
      <c r="V225" s="120">
        <f t="shared" si="616"/>
        <v>1267.0962338728959</v>
      </c>
      <c r="W225" s="120">
        <f t="shared" si="616"/>
        <v>1461.0386047390082</v>
      </c>
      <c r="X225" s="120">
        <f t="shared" si="616"/>
        <v>1283.4778546273005</v>
      </c>
      <c r="Y225" s="120">
        <f t="shared" si="616"/>
        <v>1522.7222858987752</v>
      </c>
      <c r="Z225" s="120">
        <f t="shared" si="616"/>
        <v>1514.6036044276318</v>
      </c>
      <c r="AA225" s="120">
        <f t="shared" si="616"/>
        <v>1556.5894834552789</v>
      </c>
      <c r="AB225" s="120">
        <f t="shared" si="616"/>
        <v>1979.805655358191</v>
      </c>
      <c r="AC225" s="120">
        <f t="shared" si="616"/>
        <v>2023.2150653370109</v>
      </c>
      <c r="AD225" s="120">
        <f t="shared" si="616"/>
        <v>1928.9300457119805</v>
      </c>
      <c r="AE225" s="120">
        <f t="shared" si="616"/>
        <v>1847.993061446703</v>
      </c>
      <c r="AF225" s="120">
        <f t="shared" si="616"/>
        <v>1827.725209456866</v>
      </c>
      <c r="AG225" s="426">
        <f t="shared" si="616"/>
        <v>1911.6277565465959</v>
      </c>
    </row>
  </sheetData>
  <mergeCells count="2">
    <mergeCell ref="C2:AG2"/>
    <mergeCell ref="C1:AG1"/>
  </mergeCells>
  <phoneticPr fontId="13" type="noConversion"/>
  <pageMargins left="0.7" right="0.7" top="0.75" bottom="0.75" header="0.3" footer="0.3"/>
  <pageSetup scale="2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C8E2-1FEF-4C8D-B596-0C91AB4CF85A}">
  <dimension ref="A2:Z35"/>
  <sheetViews>
    <sheetView showGridLines="0" zoomScale="115" zoomScaleNormal="11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L13" sqref="L13"/>
    </sheetView>
  </sheetViews>
  <sheetFormatPr defaultRowHeight="14.5" outlineLevelRow="1" outlineLevelCol="1" x14ac:dyDescent="0.35"/>
  <cols>
    <col min="1" max="1" width="2.6328125" customWidth="1"/>
    <col min="2" max="2" width="6.08984375" customWidth="1"/>
    <col min="3" max="3" width="4.90625" customWidth="1"/>
    <col min="4" max="4" width="25.08984375" customWidth="1"/>
    <col min="5" max="5" width="8.453125" customWidth="1"/>
    <col min="7" max="7" width="13.36328125" customWidth="1" outlineLevel="1"/>
    <col min="8" max="8" width="6" customWidth="1" outlineLevel="1"/>
    <col min="9" max="9" width="9.54296875" customWidth="1"/>
    <col min="10" max="10" width="13.36328125" customWidth="1" outlineLevel="1"/>
    <col min="11" max="11" width="9.54296875" customWidth="1" outlineLevel="1"/>
    <col min="12" max="12" width="9.54296875" customWidth="1"/>
    <col min="13" max="13" width="13.36328125" customWidth="1" outlineLevel="1"/>
    <col min="14" max="14" width="9.54296875" customWidth="1" outlineLevel="1"/>
    <col min="15" max="15" width="9.54296875" customWidth="1"/>
    <col min="16" max="16" width="13.36328125" customWidth="1" outlineLevel="1"/>
    <col min="17" max="17" width="9.54296875" customWidth="1" outlineLevel="1"/>
    <col min="18" max="18" width="9.54296875" customWidth="1"/>
    <col min="19" max="19" width="13.36328125" customWidth="1" outlineLevel="1"/>
    <col min="20" max="20" width="9.54296875" customWidth="1" outlineLevel="1"/>
    <col min="21" max="21" width="9.54296875" customWidth="1"/>
    <col min="22" max="22" width="13.36328125" customWidth="1" outlineLevel="1"/>
    <col min="23" max="23" width="9.54296875" customWidth="1" outlineLevel="1"/>
    <col min="24" max="24" width="9.54296875" customWidth="1"/>
    <col min="25" max="25" width="13.36328125" customWidth="1" outlineLevel="1"/>
    <col min="26" max="26" width="5.453125" customWidth="1" outlineLevel="1"/>
  </cols>
  <sheetData>
    <row r="2" spans="1:26" s="244" customFormat="1" x14ac:dyDescent="0.35">
      <c r="D2" s="307"/>
      <c r="E2" s="308" t="s">
        <v>191</v>
      </c>
      <c r="F2" s="308" t="s">
        <v>3</v>
      </c>
      <c r="G2" s="308" t="s">
        <v>193</v>
      </c>
      <c r="H2" s="308" t="s">
        <v>191</v>
      </c>
      <c r="I2" s="308" t="s">
        <v>4</v>
      </c>
      <c r="J2" s="308" t="s">
        <v>193</v>
      </c>
      <c r="K2" s="308" t="s">
        <v>191</v>
      </c>
      <c r="L2" s="318" t="s">
        <v>5</v>
      </c>
      <c r="M2" s="308" t="s">
        <v>193</v>
      </c>
      <c r="N2" s="308" t="s">
        <v>191</v>
      </c>
      <c r="O2" s="308" t="s">
        <v>6</v>
      </c>
      <c r="P2" s="308" t="s">
        <v>193</v>
      </c>
      <c r="Q2" s="308" t="s">
        <v>191</v>
      </c>
      <c r="R2" s="308" t="s">
        <v>7</v>
      </c>
      <c r="S2" s="308" t="s">
        <v>193</v>
      </c>
      <c r="T2" s="308" t="s">
        <v>191</v>
      </c>
      <c r="U2" s="308" t="s">
        <v>8</v>
      </c>
      <c r="V2" s="308" t="s">
        <v>193</v>
      </c>
      <c r="W2" s="308" t="s">
        <v>191</v>
      </c>
      <c r="X2" s="309" t="s">
        <v>9</v>
      </c>
      <c r="Y2" s="244" t="s">
        <v>193</v>
      </c>
      <c r="Z2" s="244" t="s">
        <v>191</v>
      </c>
    </row>
    <row r="3" spans="1:26" s="244" customFormat="1" x14ac:dyDescent="0.35">
      <c r="D3" s="310"/>
      <c r="E3" s="244" t="s">
        <v>192</v>
      </c>
      <c r="F3" s="244" t="s">
        <v>182</v>
      </c>
      <c r="G3" s="244" t="s">
        <v>192</v>
      </c>
      <c r="H3" s="244" t="s">
        <v>195</v>
      </c>
      <c r="I3" s="244" t="s">
        <v>182</v>
      </c>
      <c r="J3" s="244" t="s">
        <v>192</v>
      </c>
      <c r="K3" s="244" t="s">
        <v>195</v>
      </c>
      <c r="L3" s="319" t="s">
        <v>182</v>
      </c>
      <c r="M3" s="244" t="s">
        <v>192</v>
      </c>
      <c r="N3" s="244" t="s">
        <v>195</v>
      </c>
      <c r="O3" s="244" t="s">
        <v>182</v>
      </c>
      <c r="P3" s="244" t="s">
        <v>192</v>
      </c>
      <c r="Q3" s="244" t="s">
        <v>195</v>
      </c>
      <c r="R3" s="244" t="s">
        <v>182</v>
      </c>
      <c r="S3" s="244" t="s">
        <v>192</v>
      </c>
      <c r="T3" s="244" t="s">
        <v>195</v>
      </c>
      <c r="U3" s="244" t="s">
        <v>182</v>
      </c>
      <c r="V3" s="244" t="s">
        <v>192</v>
      </c>
      <c r="W3" s="244" t="s">
        <v>195</v>
      </c>
      <c r="X3" s="311" t="s">
        <v>182</v>
      </c>
      <c r="Y3" s="244" t="s">
        <v>192</v>
      </c>
      <c r="Z3" s="244" t="s">
        <v>195</v>
      </c>
    </row>
    <row r="4" spans="1:26" outlineLevel="1" x14ac:dyDescent="0.35">
      <c r="D4" s="125"/>
      <c r="L4" s="320"/>
      <c r="X4" s="186"/>
    </row>
    <row r="5" spans="1:26" outlineLevel="1" x14ac:dyDescent="0.35">
      <c r="D5" s="125" t="s">
        <v>189</v>
      </c>
      <c r="F5" s="312">
        <f>'25-Year Model'!G12</f>
        <v>34</v>
      </c>
      <c r="G5" s="312"/>
      <c r="H5" s="312"/>
      <c r="I5" s="312">
        <f>'25-Year Model'!H12</f>
        <v>34</v>
      </c>
      <c r="J5" s="312"/>
      <c r="K5" s="312"/>
      <c r="L5" s="321">
        <f>'25-Year Model'!I12</f>
        <v>37</v>
      </c>
      <c r="M5" s="312"/>
      <c r="N5" s="312"/>
      <c r="O5" s="312">
        <f>'25-Year Model'!J12</f>
        <v>39</v>
      </c>
      <c r="P5" s="312"/>
      <c r="Q5" s="312"/>
      <c r="R5" s="312">
        <f>'25-Year Model'!K12</f>
        <v>43</v>
      </c>
      <c r="S5" s="312"/>
      <c r="T5" s="312"/>
      <c r="U5" s="312">
        <f>'25-Year Model'!L12</f>
        <v>48</v>
      </c>
      <c r="V5" s="312"/>
      <c r="W5" s="312"/>
      <c r="X5" s="313" t="e">
        <f>'25-Year Model'!#REF!</f>
        <v>#REF!</v>
      </c>
      <c r="Y5" s="242"/>
      <c r="Z5" s="242"/>
    </row>
    <row r="6" spans="1:26" outlineLevel="1" x14ac:dyDescent="0.35">
      <c r="D6" s="125" t="s">
        <v>188</v>
      </c>
      <c r="F6" s="314">
        <f>'25-Year Model'!G13</f>
        <v>0.02</v>
      </c>
      <c r="G6" s="314"/>
      <c r="H6" s="314"/>
      <c r="I6" s="314">
        <f>'25-Year Model'!H13</f>
        <v>2.5000000000000001E-2</v>
      </c>
      <c r="J6" s="314"/>
      <c r="K6" s="314"/>
      <c r="L6" s="322">
        <f>'25-Year Model'!I13</f>
        <v>0.03</v>
      </c>
      <c r="M6" s="314"/>
      <c r="N6" s="314"/>
      <c r="O6" s="314">
        <f>'25-Year Model'!J13</f>
        <v>0.03</v>
      </c>
      <c r="P6" s="314"/>
      <c r="Q6" s="314"/>
      <c r="R6" s="314">
        <f>'25-Year Model'!K13</f>
        <v>0.03</v>
      </c>
      <c r="S6" s="314"/>
      <c r="T6" s="314"/>
      <c r="U6" s="314">
        <f>'25-Year Model'!L13</f>
        <v>3.1E-2</v>
      </c>
      <c r="V6" s="314"/>
      <c r="W6" s="314"/>
      <c r="X6" s="315" t="e">
        <f>'25-Year Model'!#REF!</f>
        <v>#REF!</v>
      </c>
      <c r="Y6" s="243"/>
      <c r="Z6" s="243"/>
    </row>
    <row r="7" spans="1:26" outlineLevel="1" x14ac:dyDescent="0.35">
      <c r="D7" s="125" t="s">
        <v>23</v>
      </c>
      <c r="F7" s="312">
        <f>'25-Year Model'!G17</f>
        <v>12</v>
      </c>
      <c r="G7" s="312"/>
      <c r="H7" s="312"/>
      <c r="I7" s="312">
        <f>'25-Year Model'!H17</f>
        <v>12</v>
      </c>
      <c r="J7" s="312"/>
      <c r="K7" s="312"/>
      <c r="L7" s="321">
        <f>'25-Year Model'!I17</f>
        <v>17</v>
      </c>
      <c r="M7" s="312"/>
      <c r="N7" s="312"/>
      <c r="O7" s="312">
        <f>'25-Year Model'!J17</f>
        <v>22</v>
      </c>
      <c r="P7" s="312"/>
      <c r="Q7" s="312"/>
      <c r="R7" s="312">
        <f>'25-Year Model'!K17</f>
        <v>25</v>
      </c>
      <c r="S7" s="312"/>
      <c r="T7" s="312"/>
      <c r="U7" s="312">
        <f>'25-Year Model'!L17</f>
        <v>28</v>
      </c>
      <c r="V7" s="312"/>
      <c r="W7" s="312"/>
      <c r="X7" s="313" t="e">
        <f>'25-Year Model'!#REF!</f>
        <v>#REF!</v>
      </c>
      <c r="Y7" s="242"/>
      <c r="Z7" s="242"/>
    </row>
    <row r="8" spans="1:26" outlineLevel="1" x14ac:dyDescent="0.35">
      <c r="D8" s="125" t="s">
        <v>190</v>
      </c>
      <c r="F8" s="316">
        <f>'25-Year Model'!G18</f>
        <v>4.7627980656995167E-2</v>
      </c>
      <c r="G8" s="316"/>
      <c r="H8" s="316"/>
      <c r="I8" s="316">
        <f>'25-Year Model'!H18</f>
        <v>4.7627980656995167E-2</v>
      </c>
      <c r="J8" s="316"/>
      <c r="K8" s="316"/>
      <c r="L8" s="323">
        <f>'25-Year Model'!I18</f>
        <v>4.7627980656995167E-2</v>
      </c>
      <c r="M8" s="316"/>
      <c r="N8" s="316"/>
      <c r="O8" s="316">
        <f>'25-Year Model'!J18</f>
        <v>4.7627980656995167E-2</v>
      </c>
      <c r="P8" s="316"/>
      <c r="Q8" s="316"/>
      <c r="R8" s="316">
        <f>'25-Year Model'!K18</f>
        <v>4.7627980656995167E-2</v>
      </c>
      <c r="S8" s="316"/>
      <c r="T8" s="316"/>
      <c r="U8" s="316">
        <f>'25-Year Model'!L18</f>
        <v>4.7627980656995167E-2</v>
      </c>
      <c r="V8" s="316"/>
      <c r="W8" s="316"/>
      <c r="X8" s="317" t="e">
        <f>'25-Year Model'!#REF!</f>
        <v>#REF!</v>
      </c>
      <c r="Y8" s="241"/>
      <c r="Z8" s="241"/>
    </row>
    <row r="9" spans="1:26" ht="9" customHeight="1" outlineLevel="1" x14ac:dyDescent="0.35">
      <c r="D9" s="125"/>
      <c r="L9" s="320"/>
      <c r="X9" s="186"/>
    </row>
    <row r="10" spans="1:26" outlineLevel="1" x14ac:dyDescent="0.35">
      <c r="D10" s="211" t="s">
        <v>218</v>
      </c>
      <c r="E10" s="15"/>
      <c r="F10" s="15">
        <f>'25-Year Model'!G4+'25-Year Model'!G6+'25-Year Model'!G8</f>
        <v>464</v>
      </c>
      <c r="G10" s="15"/>
      <c r="H10" s="15"/>
      <c r="I10" s="15">
        <f>'25-Year Model'!H4+'25-Year Model'!H6+'25-Year Model'!H8</f>
        <v>472</v>
      </c>
      <c r="J10" s="15"/>
      <c r="K10" s="15"/>
      <c r="L10" s="324">
        <f>'25-Year Model'!I4+'25-Year Model'!I6+'25-Year Model'!I8</f>
        <v>474</v>
      </c>
      <c r="M10" s="15"/>
      <c r="N10" s="15"/>
      <c r="O10" s="15">
        <f>'25-Year Model'!J4+'25-Year Model'!J6+'25-Year Model'!J8</f>
        <v>474</v>
      </c>
      <c r="P10" s="15"/>
      <c r="Q10" s="15"/>
      <c r="R10" s="15">
        <f>'25-Year Model'!K4+'25-Year Model'!K6+'25-Year Model'!K8</f>
        <v>475</v>
      </c>
      <c r="S10" s="15"/>
      <c r="T10" s="15"/>
      <c r="U10" s="15">
        <f>'25-Year Model'!L4+'25-Year Model'!L6+'25-Year Model'!L8</f>
        <v>476</v>
      </c>
      <c r="V10" s="15"/>
      <c r="W10" s="15"/>
      <c r="X10" s="200" t="e">
        <f>'25-Year Model'!#REF!+'25-Year Model'!#REF!+'25-Year Model'!#REF!</f>
        <v>#REF!</v>
      </c>
    </row>
    <row r="11" spans="1:26" x14ac:dyDescent="0.35">
      <c r="A11" t="s">
        <v>194</v>
      </c>
    </row>
    <row r="12" spans="1:26" x14ac:dyDescent="0.35">
      <c r="D12" t="s">
        <v>217</v>
      </c>
    </row>
    <row r="13" spans="1:26" x14ac:dyDescent="0.35">
      <c r="B13">
        <v>0</v>
      </c>
      <c r="D13" s="250" t="s">
        <v>183</v>
      </c>
      <c r="E13" s="251">
        <v>0.35</v>
      </c>
      <c r="F13" s="252">
        <f>(1+F$8)*(F$5+($B13*F$6))+F$7</f>
        <v>47.619351342337836</v>
      </c>
      <c r="G13" s="252">
        <f>F13*(F$10*$E13)</f>
        <v>7733.382657995664</v>
      </c>
      <c r="H13" s="253">
        <f>G13/G$28</f>
        <v>0.29662012720619174</v>
      </c>
      <c r="I13" s="252">
        <f t="shared" ref="I13:X13" si="0">(1+I$8)*(I$5+($B13*I$6))+I$7</f>
        <v>47.619351342337836</v>
      </c>
      <c r="J13" s="252">
        <f>I13*(I$10*$E13)</f>
        <v>7866.7168417542098</v>
      </c>
      <c r="K13" s="253">
        <f>J13/J$28</f>
        <v>0.289227320036549</v>
      </c>
      <c r="L13" s="325">
        <f>L$7+(1+L$8)*(L$5+($B13*L$6))</f>
        <v>55.762235284308822</v>
      </c>
      <c r="M13" s="252">
        <f>L13*(L$10*$E13)</f>
        <v>9250.9548336668322</v>
      </c>
      <c r="N13" s="253">
        <f>M13/M$28</f>
        <v>0.28879195498322718</v>
      </c>
      <c r="O13" s="252">
        <f t="shared" si="0"/>
        <v>62.857491245622818</v>
      </c>
      <c r="P13" s="252">
        <f>O13*(O$10*$E13)</f>
        <v>10428.057797648824</v>
      </c>
      <c r="Q13" s="253">
        <f>P13/P$28</f>
        <v>0.29499192099091071</v>
      </c>
      <c r="R13" s="252">
        <f t="shared" si="0"/>
        <v>70.048003168250801</v>
      </c>
      <c r="S13" s="252">
        <f>R13*(R$10*$E13)</f>
        <v>11645.480526721696</v>
      </c>
      <c r="T13" s="253">
        <f>S13/S$28</f>
        <v>0.30063406033028728</v>
      </c>
      <c r="U13" s="252">
        <f t="shared" si="0"/>
        <v>78.286143071535776</v>
      </c>
      <c r="V13" s="252">
        <f>U13*(U$10*$E13)</f>
        <v>13042.47143571786</v>
      </c>
      <c r="W13" s="253">
        <f>V13/V$28</f>
        <v>0.30461088721203977</v>
      </c>
      <c r="X13" s="254" t="e">
        <f t="shared" si="0"/>
        <v>#REF!</v>
      </c>
      <c r="Y13" s="44" t="e">
        <f>X13*(X$10*$E13)</f>
        <v>#REF!</v>
      </c>
      <c r="Z13" s="99" t="e">
        <f>Y13/Y$28</f>
        <v>#REF!</v>
      </c>
    </row>
    <row r="14" spans="1:26" x14ac:dyDescent="0.35">
      <c r="D14" s="125"/>
      <c r="I14" s="255">
        <f>(I13/F13)-1</f>
        <v>0</v>
      </c>
      <c r="L14" s="326">
        <f>(L13/I13)-1</f>
        <v>0.17099947211442257</v>
      </c>
      <c r="O14" s="255">
        <f>(O13/L13)-1</f>
        <v>0.1272412399742977</v>
      </c>
      <c r="R14" s="255">
        <f>(R13/O13)-1</f>
        <v>0.11439387382691169</v>
      </c>
      <c r="U14" s="255">
        <f>(U13/R13)-1</f>
        <v>0.11760706273806965</v>
      </c>
      <c r="X14" s="256" t="e">
        <f>(X13/U13)-1</f>
        <v>#REF!</v>
      </c>
    </row>
    <row r="15" spans="1:26" ht="20.25" customHeight="1" x14ac:dyDescent="0.35">
      <c r="B15">
        <v>300</v>
      </c>
      <c r="D15" s="125" t="s">
        <v>184</v>
      </c>
      <c r="E15" s="240">
        <v>0.35</v>
      </c>
      <c r="F15" s="44">
        <f>(1+F$8)*(F$5+($B15*F$6))+F$7</f>
        <v>53.905119226279808</v>
      </c>
      <c r="G15" s="44">
        <f>F15*($F$10*$E15)</f>
        <v>8754.1913623478395</v>
      </c>
      <c r="H15" s="257">
        <f>G15/G$28</f>
        <v>0.3357740681307454</v>
      </c>
      <c r="I15" s="44">
        <f t="shared" ref="I15:X15" si="1">(1+I$8)*(I$5+($B15*I$6))+I$7</f>
        <v>55.476561197265305</v>
      </c>
      <c r="J15" s="44">
        <f>I15*($F$10*$E15)</f>
        <v>9009.3935384358847</v>
      </c>
      <c r="K15" s="257">
        <f>J15/J$28</f>
        <v>0.33123891461883986</v>
      </c>
      <c r="L15" s="327">
        <f t="shared" si="1"/>
        <v>65.19088711022178</v>
      </c>
      <c r="M15" s="44">
        <f>L15*($F$10*$E15)</f>
        <v>10587.000066700015</v>
      </c>
      <c r="N15" s="257">
        <f>M15/M$28</f>
        <v>0.33049998639523853</v>
      </c>
      <c r="O15" s="44">
        <f t="shared" si="1"/>
        <v>72.286143071535776</v>
      </c>
      <c r="P15" s="44">
        <f>O15*($F$10*$E15)</f>
        <v>11739.269634817409</v>
      </c>
      <c r="Q15" s="257">
        <f>P15/P$28</f>
        <v>0.33208386142488028</v>
      </c>
      <c r="R15" s="44">
        <f t="shared" si="1"/>
        <v>79.476654994163752</v>
      </c>
      <c r="S15" s="44">
        <f>R15*($F$10*$E15)</f>
        <v>12907.008771052191</v>
      </c>
      <c r="T15" s="257">
        <f>S15/S$28</f>
        <v>0.33320105981512349</v>
      </c>
      <c r="U15" s="44">
        <f t="shared" si="1"/>
        <v>88.029083291645833</v>
      </c>
      <c r="V15" s="44">
        <f>U15*($F$10*$E15)</f>
        <v>14295.923126563281</v>
      </c>
      <c r="W15" s="257">
        <f>V15/V$28</f>
        <v>0.33388563268552601</v>
      </c>
      <c r="X15" s="258" t="e">
        <f t="shared" si="1"/>
        <v>#REF!</v>
      </c>
      <c r="Y15" s="44" t="e">
        <f>X15*($F$10*$E15)</f>
        <v>#REF!</v>
      </c>
      <c r="Z15" s="99" t="e">
        <f>Y15/Y$28</f>
        <v>#REF!</v>
      </c>
    </row>
    <row r="16" spans="1:26" x14ac:dyDescent="0.35">
      <c r="D16" s="125"/>
      <c r="I16" s="255">
        <f>(I15/F15)-1</f>
        <v>2.915199879976127E-2</v>
      </c>
      <c r="L16" s="326">
        <f>(L15/I15)-1</f>
        <v>0.17510685059252262</v>
      </c>
      <c r="O16" s="255">
        <f>(O15/L15)-1</f>
        <v>0.10883815631036997</v>
      </c>
      <c r="R16" s="255">
        <f>(R15/O15)-1</f>
        <v>9.9472895040368936E-2</v>
      </c>
      <c r="U16" s="255">
        <f>(U15/R15)-1</f>
        <v>0.10760931367972293</v>
      </c>
      <c r="X16" s="256" t="e">
        <f>(X15/U15)-1</f>
        <v>#REF!</v>
      </c>
    </row>
    <row r="17" spans="2:26" ht="23.25" customHeight="1" x14ac:dyDescent="0.35">
      <c r="B17">
        <v>600</v>
      </c>
      <c r="D17" s="125" t="s">
        <v>185</v>
      </c>
      <c r="E17" s="240">
        <v>0.14000000000000001</v>
      </c>
      <c r="F17" s="44">
        <f>(1+F$8)*(F$5+($B17*F$6))+F$7</f>
        <v>60.19088711022178</v>
      </c>
      <c r="G17" s="44">
        <f>F17*($F$10*$E17)</f>
        <v>3910.0000266800075</v>
      </c>
      <c r="H17" s="257">
        <f>G17/G$28</f>
        <v>0.14997120362211969</v>
      </c>
      <c r="I17" s="44">
        <f t="shared" ref="I17:X17" si="2">(1+I$8)*(I$5+($B17*I$6))+I$7</f>
        <v>63.333771052192766</v>
      </c>
      <c r="J17" s="44">
        <f>I17*($F$10*$E17)</f>
        <v>4114.1617675504422</v>
      </c>
      <c r="K17" s="257">
        <f>J17/J$28</f>
        <v>0.15126106686714078</v>
      </c>
      <c r="L17" s="327">
        <f t="shared" si="2"/>
        <v>74.619538936134745</v>
      </c>
      <c r="M17" s="44">
        <f>L17*($F$10*$E17)</f>
        <v>4847.2852492913134</v>
      </c>
      <c r="N17" s="257">
        <f>M17/M$28</f>
        <v>0.15132027003415086</v>
      </c>
      <c r="O17" s="44">
        <f t="shared" si="2"/>
        <v>81.714794897448726</v>
      </c>
      <c r="P17" s="44">
        <f>O17*($F$10*$E17)</f>
        <v>5308.1930765382704</v>
      </c>
      <c r="Q17" s="257">
        <f>P17/P$28</f>
        <v>0.15015970404304133</v>
      </c>
      <c r="R17" s="44">
        <f t="shared" si="2"/>
        <v>88.905306820076703</v>
      </c>
      <c r="S17" s="44">
        <f>R17*($F$10*$E17)</f>
        <v>5775.288731032183</v>
      </c>
      <c r="T17" s="257">
        <f>S17/S$28</f>
        <v>0.14909204448935923</v>
      </c>
      <c r="U17" s="44">
        <f t="shared" si="2"/>
        <v>97.772023511755876</v>
      </c>
      <c r="V17" s="44">
        <f>U17*($F$10*$E17)</f>
        <v>6351.2706473236622</v>
      </c>
      <c r="W17" s="257">
        <f>V17/V$28</f>
        <v>0.14833585768927257</v>
      </c>
      <c r="X17" s="258" t="e">
        <f t="shared" si="2"/>
        <v>#REF!</v>
      </c>
      <c r="Y17" s="44" t="e">
        <f>X17*($F$10*$E17)</f>
        <v>#REF!</v>
      </c>
      <c r="Z17" s="99" t="e">
        <f>Y17/Y$28</f>
        <v>#REF!</v>
      </c>
    </row>
    <row r="18" spans="2:26" x14ac:dyDescent="0.35">
      <c r="D18" s="125"/>
      <c r="I18" s="255">
        <f>(I17/F17)-1</f>
        <v>5.2215278638703566E-2</v>
      </c>
      <c r="L18" s="326">
        <f>(L17/I17)-1</f>
        <v>0.17819510344080869</v>
      </c>
      <c r="O18" s="255">
        <f>(O17/L17)-1</f>
        <v>9.5085765236189168E-2</v>
      </c>
      <c r="R18" s="255">
        <f>(R17/O17)-1</f>
        <v>8.799522695555928E-2</v>
      </c>
      <c r="U18" s="255">
        <f>(U17/R17)-1</f>
        <v>9.9732142082624042E-2</v>
      </c>
      <c r="X18" s="256" t="e">
        <f>(X17/U17)-1</f>
        <v>#REF!</v>
      </c>
    </row>
    <row r="19" spans="2:26" ht="21.75" customHeight="1" x14ac:dyDescent="0.35">
      <c r="B19">
        <v>1000</v>
      </c>
      <c r="D19" s="125" t="s">
        <v>186</v>
      </c>
      <c r="E19" s="240">
        <v>0.1</v>
      </c>
      <c r="F19" s="44">
        <f>(1+F$8)*(F$5+($B19*F$6))+F$7</f>
        <v>68.571910955477733</v>
      </c>
      <c r="G19" s="44">
        <f>F19*($F$10*$E19)</f>
        <v>3181.736668334167</v>
      </c>
      <c r="H19" s="257">
        <f>G19/G$28</f>
        <v>0.12203807532039164</v>
      </c>
      <c r="I19" s="44">
        <f t="shared" ref="I19:X19" si="3">(1+I$8)*(I$5+($B19*I$6))+I$7</f>
        <v>73.810050858762722</v>
      </c>
      <c r="J19" s="44">
        <f>I19*($F$10*$E19)</f>
        <v>3424.7863598465906</v>
      </c>
      <c r="K19" s="257">
        <f>J19/J$28</f>
        <v>0.12591552492377181</v>
      </c>
      <c r="L19" s="327">
        <f t="shared" si="3"/>
        <v>87.191074704018675</v>
      </c>
      <c r="M19" s="44">
        <f>L19*($F$10*$E19)</f>
        <v>4045.6658662664672</v>
      </c>
      <c r="N19" s="257">
        <f>M19/M$28</f>
        <v>0.12629569333492241</v>
      </c>
      <c r="O19" s="44">
        <f t="shared" si="3"/>
        <v>94.28633066533267</v>
      </c>
      <c r="P19" s="44">
        <f>O19*($F$10*$E19)</f>
        <v>4374.8857428714364</v>
      </c>
      <c r="Q19" s="257">
        <f>P19/P$28</f>
        <v>0.12375803571940015</v>
      </c>
      <c r="R19" s="44">
        <f t="shared" si="3"/>
        <v>101.47684258796065</v>
      </c>
      <c r="S19" s="44">
        <f>R19*($F$10*$E19)</f>
        <v>4708.5254960813745</v>
      </c>
      <c r="T19" s="257">
        <f>S19/S$28</f>
        <v>0.1215530037431707</v>
      </c>
      <c r="U19" s="44">
        <f t="shared" si="3"/>
        <v>110.76261047190262</v>
      </c>
      <c r="V19" s="44">
        <f>U19*($F$10*$E19)</f>
        <v>5139.3851258962823</v>
      </c>
      <c r="W19" s="257">
        <f>V19/V$28</f>
        <v>0.12003190274477769</v>
      </c>
      <c r="X19" s="258" t="e">
        <f t="shared" si="3"/>
        <v>#REF!</v>
      </c>
      <c r="Y19" s="44" t="e">
        <f>X19*($F$10*$E19)</f>
        <v>#REF!</v>
      </c>
      <c r="Z19" s="99" t="e">
        <f>Y19/Y$28</f>
        <v>#REF!</v>
      </c>
    </row>
    <row r="20" spans="2:26" x14ac:dyDescent="0.35">
      <c r="D20" s="125"/>
      <c r="I20" s="255">
        <f>(I19/F19)-1</f>
        <v>7.6389002877373491E-2</v>
      </c>
      <c r="L20" s="326">
        <f>(L19/I19)-1</f>
        <v>0.18128999627518017</v>
      </c>
      <c r="O20" s="255">
        <f>(O19/L19)-1</f>
        <v>8.1375943413930285E-2</v>
      </c>
      <c r="R20" s="255">
        <f>(R19/O19)-1</f>
        <v>7.6262506684564357E-2</v>
      </c>
      <c r="U20" s="255">
        <f>(U19/R19)-1</f>
        <v>9.1506275196658882E-2</v>
      </c>
      <c r="X20" s="256" t="e">
        <f>(X19/U19)-1</f>
        <v>#REF!</v>
      </c>
    </row>
    <row r="21" spans="2:26" ht="23.25" customHeight="1" x14ac:dyDescent="0.35">
      <c r="B21">
        <v>2000</v>
      </c>
      <c r="D21" s="125" t="s">
        <v>187</v>
      </c>
      <c r="E21" s="240">
        <v>0.06</v>
      </c>
      <c r="F21" s="44">
        <f>(1+F$8)*(F$5+($B21*F$6))+F$7</f>
        <v>89.524470568617645</v>
      </c>
      <c r="G21" s="44">
        <f>F21*($F$10*$E21)</f>
        <v>2492.3612606303154</v>
      </c>
      <c r="H21" s="257">
        <f>G21/G$28</f>
        <v>9.5596525720551398E-2</v>
      </c>
      <c r="I21" s="44">
        <f t="shared" ref="I21:U21" si="4">(1+I$8)*(I$5+($B21*I$6))+I$7</f>
        <v>100.00075037518761</v>
      </c>
      <c r="J21" s="44">
        <f>I21*($F$10*$E21)</f>
        <v>2784.0208904452229</v>
      </c>
      <c r="K21" s="257">
        <f>J21/J$28</f>
        <v>0.10235717355369851</v>
      </c>
      <c r="L21" s="327">
        <f t="shared" si="4"/>
        <v>118.61991412372853</v>
      </c>
      <c r="M21" s="44">
        <f>L21*($F$10*$E21)</f>
        <v>3302.3784092046026</v>
      </c>
      <c r="N21" s="257">
        <f>M21/M$28</f>
        <v>0.10309209525246116</v>
      </c>
      <c r="O21" s="44">
        <f t="shared" si="4"/>
        <v>125.71517008504253</v>
      </c>
      <c r="P21" s="44">
        <f>O21*($F$10*$E21)</f>
        <v>3499.910335167584</v>
      </c>
      <c r="Q21" s="257">
        <f>P21/P$28</f>
        <v>9.9006477821767483E-2</v>
      </c>
      <c r="R21" s="44">
        <f t="shared" si="4"/>
        <v>132.90568200767052</v>
      </c>
      <c r="S21" s="44">
        <f>R21*($F$10*$E21)</f>
        <v>3700.0941870935471</v>
      </c>
      <c r="T21" s="257">
        <f>S21/S$28</f>
        <v>9.5519831622059292E-2</v>
      </c>
      <c r="U21" s="44">
        <f t="shared" si="4"/>
        <v>143.23907787226949</v>
      </c>
      <c r="V21" s="44">
        <f>U21*($F$10*$E21)</f>
        <v>3987.7759279639827</v>
      </c>
      <c r="W21" s="257">
        <f>V21/V$28</f>
        <v>9.3135719668383965E-2</v>
      </c>
      <c r="X21" s="258" t="e">
        <f t="shared" ref="X21" si="5">(1+X$8)*(X$5+($B21*X$6))+X$7</f>
        <v>#REF!</v>
      </c>
      <c r="Y21" s="44" t="e">
        <f>X21*($F$10*$E21)</f>
        <v>#REF!</v>
      </c>
      <c r="Z21" s="99" t="e">
        <f>Y21/Y$28</f>
        <v>#REF!</v>
      </c>
    </row>
    <row r="22" spans="2:26" x14ac:dyDescent="0.35">
      <c r="D22" s="211"/>
      <c r="E22" s="259"/>
      <c r="F22" s="260"/>
      <c r="G22" s="260"/>
      <c r="H22" s="261"/>
      <c r="I22" s="262">
        <f>(I21/F21)-1</f>
        <v>0.11702141034769076</v>
      </c>
      <c r="J22" s="260"/>
      <c r="K22" s="261"/>
      <c r="L22" s="328">
        <f>(L21/I21)-1</f>
        <v>0.18619024036004395</v>
      </c>
      <c r="M22" s="260"/>
      <c r="N22" s="261"/>
      <c r="O22" s="262">
        <f>(O21/L21)-1</f>
        <v>5.9815048878834709E-2</v>
      </c>
      <c r="P22" s="260"/>
      <c r="Q22" s="261"/>
      <c r="R22" s="262">
        <f>(R21/O21)-1</f>
        <v>5.7196851563449558E-2</v>
      </c>
      <c r="S22" s="260"/>
      <c r="T22" s="261"/>
      <c r="U22" s="262">
        <f>(U21/R21)-1</f>
        <v>7.7749842659116553E-2</v>
      </c>
      <c r="V22" s="260"/>
      <c r="W22" s="261"/>
      <c r="X22" s="263" t="e">
        <f>(X21/U21)-1</f>
        <v>#REF!</v>
      </c>
      <c r="Y22" s="44"/>
      <c r="Z22" s="99"/>
    </row>
    <row r="23" spans="2:26" x14ac:dyDescent="0.35">
      <c r="J23" s="241"/>
      <c r="L23" s="320"/>
      <c r="M23" s="241"/>
      <c r="P23" s="241"/>
      <c r="S23" s="241"/>
      <c r="V23" s="241"/>
      <c r="Y23" s="241"/>
    </row>
    <row r="24" spans="2:26" x14ac:dyDescent="0.35">
      <c r="D24" s="250" t="s">
        <v>215</v>
      </c>
      <c r="E24" s="124"/>
      <c r="F24" s="252">
        <f>(G21+G19+G17+G15)/(F10*($E21+$E19+$E17+$E15))</f>
        <v>60.803346545067392</v>
      </c>
      <c r="G24" s="124"/>
      <c r="H24" s="124"/>
      <c r="I24" s="252">
        <f>(J21+J19+J17+J15)/(I10*($E21+$E19+$E17+$E15))</f>
        <v>63.012915763618437</v>
      </c>
      <c r="J24" s="124"/>
      <c r="K24" s="124"/>
      <c r="L24" s="325">
        <f>(M21+M19+M17+M15)/(L10*($E21+$E19+$E17+$E15))</f>
        <v>73.944594584428415</v>
      </c>
      <c r="M24" s="124"/>
      <c r="N24" s="124"/>
      <c r="O24" s="252">
        <f>(P21+P19+P17+P15)/(O10*($E21+$E19+$E17+$E15))</f>
        <v>80.890161601410895</v>
      </c>
      <c r="P24" s="124"/>
      <c r="Q24" s="124"/>
      <c r="R24" s="252">
        <f>(S21+S19+S17+S15)/(R10*($E21+$E19+$E17+$E15))</f>
        <v>87.74386132877504</v>
      </c>
      <c r="S24" s="124"/>
      <c r="T24" s="124"/>
      <c r="U24" s="252">
        <f>(V21+V19+V17+V15)/(U10*($E21+$E19+$E17+$E15))</f>
        <v>96.232562468478363</v>
      </c>
      <c r="V24" s="124"/>
      <c r="W24" s="124"/>
      <c r="X24" s="254" t="e">
        <f>(Y21+Y19+Y17+Y15)/(X10*($E21+$E19+$E17+$E15))</f>
        <v>#REF!</v>
      </c>
    </row>
    <row r="25" spans="2:26" s="248" customFormat="1" x14ac:dyDescent="0.35">
      <c r="D25" s="264"/>
      <c r="I25" s="265">
        <f>(I24/F24)-1</f>
        <v>3.6339598790229743E-2</v>
      </c>
      <c r="L25" s="329">
        <f>(L24/I24)-1</f>
        <v>0.17348314529386633</v>
      </c>
      <c r="O25" s="265">
        <f>(O24/L24)-1</f>
        <v>9.3929340691051744E-2</v>
      </c>
      <c r="R25" s="265">
        <f>(R24/O24)-1</f>
        <v>8.4728471196979349E-2</v>
      </c>
      <c r="U25" s="265">
        <f>(U24/R24)-1</f>
        <v>9.6744102791376685E-2</v>
      </c>
      <c r="X25" s="266" t="e">
        <f>(X24/U24)-1</f>
        <v>#REF!</v>
      </c>
    </row>
    <row r="26" spans="2:26" x14ac:dyDescent="0.35">
      <c r="D26" s="125" t="s">
        <v>216</v>
      </c>
      <c r="F26" s="44">
        <f>G13/($E13*F10)</f>
        <v>47.619351342337836</v>
      </c>
      <c r="I26" s="44">
        <f t="shared" ref="I26" si="6">J13/($E13*I10)</f>
        <v>47.619351342337836</v>
      </c>
      <c r="L26" s="327">
        <f t="shared" ref="L26" si="7">M13/($E13*L10)</f>
        <v>55.762235284308822</v>
      </c>
      <c r="O26" s="44">
        <f t="shared" ref="O26" si="8">P13/($E13*O10)</f>
        <v>62.857491245622818</v>
      </c>
      <c r="R26" s="44">
        <f t="shared" ref="R26" si="9">S13/($E13*R10)</f>
        <v>70.048003168250801</v>
      </c>
      <c r="U26" s="44">
        <f t="shared" ref="U26" si="10">V13/($E13*U10)</f>
        <v>78.286143071535776</v>
      </c>
      <c r="X26" s="258" t="e">
        <f t="shared" ref="X26" si="11">Y13/($E13*X10)</f>
        <v>#REF!</v>
      </c>
    </row>
    <row r="27" spans="2:26" s="248" customFormat="1" ht="15" thickBot="1" x14ac:dyDescent="0.4">
      <c r="D27" s="267"/>
      <c r="E27" s="268"/>
      <c r="F27" s="268"/>
      <c r="G27" s="268"/>
      <c r="H27" s="268"/>
      <c r="I27" s="269">
        <f>(I26/F26)-1</f>
        <v>0</v>
      </c>
      <c r="J27" s="268"/>
      <c r="K27" s="268"/>
      <c r="L27" s="330">
        <f>(L26/I26)-1</f>
        <v>0.17099947211442257</v>
      </c>
      <c r="M27" s="268"/>
      <c r="N27" s="268"/>
      <c r="O27" s="269">
        <f>(O26/L26)-1</f>
        <v>0.1272412399742977</v>
      </c>
      <c r="P27" s="268"/>
      <c r="Q27" s="268"/>
      <c r="R27" s="269">
        <f>(R26/O26)-1</f>
        <v>0.11439387382691169</v>
      </c>
      <c r="S27" s="268"/>
      <c r="T27" s="268"/>
      <c r="U27" s="269">
        <f>(U26/R26)-1</f>
        <v>0.11760706273806965</v>
      </c>
      <c r="V27" s="268"/>
      <c r="W27" s="268"/>
      <c r="X27" s="270" t="e">
        <f>(X26/U26)-1</f>
        <v>#REF!</v>
      </c>
    </row>
    <row r="28" spans="2:26" x14ac:dyDescent="0.35">
      <c r="E28" s="240"/>
      <c r="G28" s="242">
        <f>SUM(G13:G21)</f>
        <v>26071.671975987996</v>
      </c>
      <c r="H28" s="240">
        <f>SUM(H13:H21)</f>
        <v>1</v>
      </c>
      <c r="I28" s="99"/>
      <c r="J28" s="242">
        <f>SUM(J13:J21)</f>
        <v>27199.079398032351</v>
      </c>
      <c r="K28" s="240">
        <f>SUM(K13:K21)</f>
        <v>1</v>
      </c>
      <c r="M28" s="242">
        <f>SUM(M13:M21)</f>
        <v>32033.284425129226</v>
      </c>
      <c r="N28" s="240">
        <f>SUM(N13:N21)</f>
        <v>1</v>
      </c>
      <c r="P28" s="242">
        <f>SUM(P13:P21)</f>
        <v>35350.316587043526</v>
      </c>
      <c r="Q28" s="240">
        <f>SUM(Q13:Q21)</f>
        <v>1</v>
      </c>
      <c r="S28" s="242">
        <f>SUM(S13:S21)</f>
        <v>38736.397711980993</v>
      </c>
      <c r="T28" s="240">
        <f>SUM(T13:T21)</f>
        <v>1</v>
      </c>
      <c r="V28" s="242">
        <f>SUM(V13:V21)</f>
        <v>42816.826263465067</v>
      </c>
      <c r="W28" s="240">
        <f>SUM(W13:W21)</f>
        <v>1</v>
      </c>
      <c r="Y28" s="242" t="e">
        <f>SUM(Y13:Y21)</f>
        <v>#REF!</v>
      </c>
      <c r="Z28" s="240" t="e">
        <f>SUM(Z13:Z21)</f>
        <v>#REF!</v>
      </c>
    </row>
    <row r="29" spans="2:26" x14ac:dyDescent="0.35">
      <c r="D29" t="s">
        <v>196</v>
      </c>
      <c r="G29" s="44">
        <f>G28*12</f>
        <v>312860.06371185597</v>
      </c>
      <c r="J29" s="44">
        <f>J28*12</f>
        <v>326388.95277638821</v>
      </c>
      <c r="M29" s="44">
        <f>M28*12</f>
        <v>384399.41310155072</v>
      </c>
      <c r="P29" s="44">
        <f>P28*12</f>
        <v>424203.79904452234</v>
      </c>
      <c r="S29" s="44">
        <f>S28*12</f>
        <v>464836.77254377189</v>
      </c>
      <c r="V29" s="44">
        <f>V28*12</f>
        <v>513801.91516158078</v>
      </c>
      <c r="Y29" s="44" t="e">
        <f>Y28*12</f>
        <v>#REF!</v>
      </c>
    </row>
    <row r="30" spans="2:26" s="248" customFormat="1" x14ac:dyDescent="0.35">
      <c r="J30" s="249">
        <f>(J29/G29)-1</f>
        <v>4.32426206912504E-2</v>
      </c>
      <c r="M30" s="249">
        <f>(M29/J29)-1</f>
        <v>0.17773414152563549</v>
      </c>
      <c r="P30" s="249">
        <f>(P29/M29)-1</f>
        <v>0.10354954920926507</v>
      </c>
      <c r="S30" s="249">
        <f>(S29/P29)-1</f>
        <v>9.578644413551074E-2</v>
      </c>
      <c r="V30" s="249">
        <f>(V29/S29)-1</f>
        <v>0.10533835855939744</v>
      </c>
      <c r="Y30" s="249" t="e">
        <f>(Y29/V29)-1</f>
        <v>#REF!</v>
      </c>
    </row>
    <row r="35" spans="17:17" x14ac:dyDescent="0.35">
      <c r="Q35" s="332" t="s">
        <v>220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1CA3-1076-48EF-9A6D-D6898DB4BD7D}">
  <sheetPr>
    <pageSetUpPr fitToPage="1"/>
  </sheetPr>
  <dimension ref="A1:M64"/>
  <sheetViews>
    <sheetView showGridLines="0" topLeftCell="C1" zoomScale="103" workbookViewId="0">
      <selection activeCell="I57" sqref="I57"/>
    </sheetView>
  </sheetViews>
  <sheetFormatPr defaultRowHeight="14.5" x14ac:dyDescent="0.35"/>
  <cols>
    <col min="1" max="1" width="27.453125" customWidth="1"/>
    <col min="2" max="2" width="2.90625" customWidth="1"/>
    <col min="3" max="9" width="23.6328125" customWidth="1"/>
    <col min="10" max="10" width="26.54296875" bestFit="1" customWidth="1"/>
    <col min="11" max="11" width="23.6328125" customWidth="1"/>
    <col min="12" max="13" width="23.54296875" bestFit="1" customWidth="1"/>
  </cols>
  <sheetData>
    <row r="1" spans="1:13" ht="15" thickBot="1" x14ac:dyDescent="0.4"/>
    <row r="2" spans="1:13" s="185" customFormat="1" x14ac:dyDescent="0.35">
      <c r="A2" s="210"/>
      <c r="B2" s="233"/>
      <c r="C2" s="216" t="s">
        <v>151</v>
      </c>
      <c r="D2" s="217" t="s">
        <v>143</v>
      </c>
      <c r="E2" s="217" t="s">
        <v>144</v>
      </c>
      <c r="F2" s="217" t="s">
        <v>145</v>
      </c>
      <c r="G2" s="217" t="s">
        <v>146</v>
      </c>
      <c r="H2" s="218" t="s">
        <v>147</v>
      </c>
      <c r="I2" s="198" t="s">
        <v>148</v>
      </c>
      <c r="J2" s="197" t="s">
        <v>149</v>
      </c>
      <c r="K2" s="197" t="s">
        <v>150</v>
      </c>
      <c r="L2" s="197" t="s">
        <v>165</v>
      </c>
      <c r="M2" s="198" t="s">
        <v>166</v>
      </c>
    </row>
    <row r="3" spans="1:13" x14ac:dyDescent="0.35">
      <c r="A3" s="125" t="s">
        <v>140</v>
      </c>
      <c r="B3" s="235">
        <v>1</v>
      </c>
      <c r="C3" s="219" t="s">
        <v>152</v>
      </c>
      <c r="D3" s="189" t="s">
        <v>153</v>
      </c>
      <c r="E3" s="192" t="s">
        <v>159</v>
      </c>
      <c r="F3" s="220" t="s">
        <v>162</v>
      </c>
      <c r="G3" s="187"/>
      <c r="H3" s="193" t="s">
        <v>157</v>
      </c>
      <c r="I3" s="212" t="s">
        <v>158</v>
      </c>
      <c r="J3" s="195" t="s">
        <v>164</v>
      </c>
      <c r="K3" s="196" t="s">
        <v>167</v>
      </c>
      <c r="L3" s="187" t="s">
        <v>212</v>
      </c>
      <c r="M3" s="186"/>
    </row>
    <row r="4" spans="1:13" x14ac:dyDescent="0.35">
      <c r="A4" s="125" t="s">
        <v>173</v>
      </c>
      <c r="B4" s="235"/>
      <c r="C4" s="221">
        <v>100000</v>
      </c>
      <c r="D4" s="222">
        <v>375000</v>
      </c>
      <c r="E4" s="205">
        <v>100000</v>
      </c>
      <c r="F4" s="223">
        <v>250000</v>
      </c>
      <c r="G4" s="187"/>
      <c r="H4" s="206">
        <v>100000</v>
      </c>
      <c r="I4" s="213">
        <v>1000000</v>
      </c>
      <c r="J4" s="208">
        <v>150000</v>
      </c>
      <c r="K4" s="209">
        <v>850000</v>
      </c>
      <c r="L4" s="187">
        <v>150000</v>
      </c>
      <c r="M4" s="186"/>
    </row>
    <row r="5" spans="1:13" ht="16.25" hidden="1" customHeight="1" x14ac:dyDescent="0.35">
      <c r="A5" s="125"/>
      <c r="B5" s="236">
        <v>2</v>
      </c>
      <c r="C5" s="224"/>
      <c r="D5" s="187"/>
      <c r="E5" s="187"/>
      <c r="F5" s="187"/>
      <c r="G5" s="187"/>
      <c r="H5" s="225"/>
      <c r="I5" s="186"/>
      <c r="J5" s="187"/>
      <c r="K5" s="187"/>
      <c r="L5" s="187"/>
      <c r="M5" s="186"/>
    </row>
    <row r="6" spans="1:13" hidden="1" x14ac:dyDescent="0.35">
      <c r="A6" s="125"/>
      <c r="B6" s="236"/>
      <c r="C6" s="224"/>
      <c r="D6" s="187"/>
      <c r="E6" s="187"/>
      <c r="F6" s="187"/>
      <c r="G6" s="187"/>
      <c r="H6" s="225"/>
      <c r="I6" s="186"/>
      <c r="J6" s="187"/>
      <c r="K6" s="187"/>
      <c r="L6" s="187"/>
      <c r="M6" s="186"/>
    </row>
    <row r="7" spans="1:13" hidden="1" x14ac:dyDescent="0.35">
      <c r="A7" s="125"/>
      <c r="B7" s="232">
        <v>3</v>
      </c>
      <c r="C7" s="224"/>
      <c r="D7" s="187"/>
      <c r="G7" s="187"/>
      <c r="H7" s="225"/>
      <c r="I7" s="186"/>
      <c r="J7" s="187"/>
      <c r="K7" s="187"/>
      <c r="L7" s="187"/>
      <c r="M7" s="186"/>
    </row>
    <row r="8" spans="1:13" hidden="1" x14ac:dyDescent="0.35">
      <c r="A8" s="125"/>
      <c r="B8" s="232"/>
      <c r="C8" s="224"/>
      <c r="D8" s="187"/>
      <c r="G8" s="187"/>
      <c r="H8" s="225"/>
      <c r="I8" s="186"/>
      <c r="J8" s="187"/>
      <c r="K8" s="187"/>
      <c r="L8" s="187"/>
      <c r="M8" s="186"/>
    </row>
    <row r="9" spans="1:13" hidden="1" x14ac:dyDescent="0.35">
      <c r="A9" s="125"/>
      <c r="B9" s="227">
        <v>4</v>
      </c>
      <c r="C9" s="224"/>
      <c r="D9" s="187"/>
      <c r="E9" s="187"/>
      <c r="F9" s="187"/>
      <c r="H9" s="225"/>
      <c r="J9" s="187"/>
      <c r="K9" s="187"/>
      <c r="L9" s="187"/>
      <c r="M9" s="186"/>
    </row>
    <row r="10" spans="1:13" hidden="1" x14ac:dyDescent="0.35">
      <c r="A10" s="125"/>
      <c r="B10" s="227"/>
      <c r="C10" s="224"/>
      <c r="D10" s="187"/>
      <c r="E10" s="187"/>
      <c r="F10" s="187"/>
      <c r="H10" s="225"/>
      <c r="J10" s="187"/>
      <c r="K10" s="187"/>
      <c r="L10" s="187"/>
      <c r="M10" s="186"/>
    </row>
    <row r="11" spans="1:13" hidden="1" x14ac:dyDescent="0.35">
      <c r="A11" s="125"/>
      <c r="B11" s="237">
        <v>5</v>
      </c>
      <c r="C11" s="224"/>
      <c r="D11" s="187"/>
      <c r="E11" s="187"/>
      <c r="F11" s="187"/>
      <c r="G11" s="187"/>
      <c r="H11" s="225"/>
      <c r="J11" s="187"/>
      <c r="K11" s="187"/>
      <c r="L11" s="187"/>
      <c r="M11" s="186"/>
    </row>
    <row r="12" spans="1:13" hidden="1" x14ac:dyDescent="0.35">
      <c r="A12" s="125"/>
      <c r="B12" s="237"/>
      <c r="C12" s="224"/>
      <c r="D12" s="187"/>
      <c r="E12" s="187"/>
      <c r="F12" s="187"/>
      <c r="G12" s="187"/>
      <c r="H12" s="225"/>
      <c r="J12" s="187"/>
      <c r="K12" s="187"/>
      <c r="L12" s="187"/>
      <c r="M12" s="186"/>
    </row>
    <row r="13" spans="1:13" x14ac:dyDescent="0.35">
      <c r="A13" s="125"/>
      <c r="B13" s="234" t="s">
        <v>170</v>
      </c>
      <c r="C13" s="224" t="s">
        <v>169</v>
      </c>
      <c r="D13" s="187"/>
      <c r="E13" s="187"/>
      <c r="F13" s="187"/>
      <c r="G13" s="187"/>
      <c r="H13" s="225"/>
      <c r="I13" s="186"/>
      <c r="J13" s="187"/>
      <c r="K13" s="187"/>
      <c r="L13" s="187"/>
      <c r="M13" s="186"/>
    </row>
    <row r="14" spans="1:13" x14ac:dyDescent="0.35">
      <c r="A14" s="125"/>
      <c r="B14" s="225"/>
      <c r="C14" s="224"/>
      <c r="D14" s="187"/>
      <c r="E14" s="187"/>
      <c r="F14" s="187"/>
      <c r="G14" s="187"/>
      <c r="H14" s="225"/>
      <c r="I14" s="186"/>
      <c r="J14" s="187"/>
      <c r="K14" s="187"/>
      <c r="L14" s="187"/>
      <c r="M14" s="186"/>
    </row>
    <row r="15" spans="1:13" x14ac:dyDescent="0.35">
      <c r="A15" s="125"/>
      <c r="B15" s="225"/>
      <c r="C15" s="224"/>
      <c r="D15" s="187"/>
      <c r="E15" s="187"/>
      <c r="F15" s="187"/>
      <c r="G15" s="187"/>
      <c r="H15" s="225"/>
      <c r="I15" s="186"/>
      <c r="J15" s="187"/>
      <c r="K15" s="187"/>
      <c r="L15" s="187"/>
      <c r="M15" s="186"/>
    </row>
    <row r="16" spans="1:13" x14ac:dyDescent="0.35">
      <c r="A16" s="125" t="s">
        <v>141</v>
      </c>
      <c r="B16" s="225"/>
      <c r="C16" s="219" t="s">
        <v>152</v>
      </c>
      <c r="D16" s="190" t="s">
        <v>154</v>
      </c>
      <c r="E16" s="189" t="s">
        <v>153</v>
      </c>
      <c r="F16" s="191" t="s">
        <v>155</v>
      </c>
      <c r="G16" s="214" t="s">
        <v>160</v>
      </c>
      <c r="H16" s="193" t="s">
        <v>157</v>
      </c>
      <c r="J16" s="194" t="s">
        <v>158</v>
      </c>
      <c r="K16" s="187"/>
      <c r="M16" s="186"/>
    </row>
    <row r="17" spans="1:13" x14ac:dyDescent="0.35">
      <c r="A17" s="125" t="s">
        <v>171</v>
      </c>
      <c r="B17" s="225"/>
      <c r="C17" s="224"/>
      <c r="D17" s="187"/>
      <c r="E17" s="192" t="s">
        <v>159</v>
      </c>
      <c r="G17" s="187"/>
      <c r="H17" s="225"/>
      <c r="I17" s="186"/>
      <c r="J17" s="195" t="s">
        <v>164</v>
      </c>
      <c r="K17" s="187"/>
      <c r="L17" s="196" t="s">
        <v>167</v>
      </c>
      <c r="M17" s="186"/>
    </row>
    <row r="18" spans="1:13" x14ac:dyDescent="0.35">
      <c r="A18" s="125" t="s">
        <v>172</v>
      </c>
      <c r="B18" s="225"/>
      <c r="C18" s="224"/>
      <c r="D18" s="187"/>
      <c r="E18" s="187"/>
      <c r="H18" s="225"/>
      <c r="I18" s="186"/>
      <c r="J18" s="187"/>
      <c r="K18" s="187"/>
      <c r="L18" s="187"/>
      <c r="M18" s="186"/>
    </row>
    <row r="19" spans="1:13" hidden="1" x14ac:dyDescent="0.35">
      <c r="A19" s="125"/>
      <c r="B19" s="225"/>
      <c r="C19" s="224"/>
      <c r="D19" s="187"/>
      <c r="E19" s="187"/>
      <c r="G19" s="187"/>
      <c r="H19" s="225"/>
      <c r="I19" s="186"/>
      <c r="J19" s="187"/>
      <c r="K19" s="187"/>
      <c r="L19" s="187"/>
      <c r="M19" s="186"/>
    </row>
    <row r="20" spans="1:13" hidden="1" x14ac:dyDescent="0.35">
      <c r="A20" s="125"/>
      <c r="B20" s="225"/>
      <c r="C20" s="224"/>
      <c r="D20" s="187"/>
      <c r="E20" s="187"/>
      <c r="G20" s="187"/>
      <c r="H20" s="225"/>
      <c r="I20" s="186"/>
      <c r="J20" s="187"/>
      <c r="K20" s="187"/>
      <c r="L20" s="187"/>
      <c r="M20" s="186"/>
    </row>
    <row r="21" spans="1:13" hidden="1" x14ac:dyDescent="0.35">
      <c r="A21" s="125"/>
      <c r="B21" s="225"/>
      <c r="C21" s="224"/>
      <c r="D21" s="187"/>
      <c r="E21" s="187"/>
      <c r="G21" s="187"/>
      <c r="H21" s="225"/>
      <c r="I21" s="186"/>
      <c r="J21" s="187"/>
      <c r="K21" s="187"/>
      <c r="L21" s="187"/>
      <c r="M21" s="186"/>
    </row>
    <row r="22" spans="1:13" hidden="1" x14ac:dyDescent="0.35">
      <c r="A22" s="125"/>
      <c r="B22" s="225"/>
      <c r="C22" s="224"/>
      <c r="D22" s="187"/>
      <c r="E22" s="187"/>
      <c r="G22" s="187"/>
      <c r="H22" s="225"/>
      <c r="I22" s="186"/>
      <c r="J22" s="187"/>
      <c r="K22" s="187"/>
      <c r="L22" s="187"/>
      <c r="M22" s="186"/>
    </row>
    <row r="23" spans="1:13" hidden="1" x14ac:dyDescent="0.35">
      <c r="A23" s="125"/>
      <c r="B23" s="225"/>
      <c r="C23" s="224"/>
      <c r="D23" s="187"/>
      <c r="E23" s="187"/>
      <c r="G23" s="187"/>
      <c r="H23" s="225"/>
      <c r="I23" s="186"/>
      <c r="J23" s="187"/>
      <c r="K23" s="187"/>
      <c r="L23" s="187"/>
      <c r="M23" s="186"/>
    </row>
    <row r="24" spans="1:13" hidden="1" x14ac:dyDescent="0.35">
      <c r="A24" s="125"/>
      <c r="B24" s="225"/>
      <c r="C24" s="224"/>
      <c r="D24" s="187"/>
      <c r="E24" s="187"/>
      <c r="G24" s="187"/>
      <c r="H24" s="225"/>
      <c r="I24" s="186"/>
      <c r="J24" s="187"/>
      <c r="K24" s="187"/>
      <c r="L24" s="187"/>
      <c r="M24" s="186"/>
    </row>
    <row r="25" spans="1:13" hidden="1" x14ac:dyDescent="0.35">
      <c r="A25" s="125"/>
      <c r="B25" s="225"/>
      <c r="C25" s="224"/>
      <c r="D25" s="187"/>
      <c r="E25" s="187"/>
      <c r="G25" s="187"/>
      <c r="H25" s="225"/>
      <c r="I25" s="186"/>
      <c r="J25" s="187"/>
      <c r="K25" s="187"/>
      <c r="L25" s="187"/>
      <c r="M25" s="186"/>
    </row>
    <row r="26" spans="1:13" hidden="1" x14ac:dyDescent="0.35">
      <c r="A26" s="125"/>
      <c r="B26" s="225"/>
      <c r="C26" s="224"/>
      <c r="D26" s="187"/>
      <c r="E26" s="187"/>
      <c r="G26" s="187"/>
      <c r="H26" s="225"/>
      <c r="I26" s="186"/>
      <c r="J26" s="187"/>
      <c r="K26" s="187"/>
      <c r="L26" s="187"/>
      <c r="M26" s="186"/>
    </row>
    <row r="27" spans="1:13" x14ac:dyDescent="0.35">
      <c r="A27" s="125"/>
      <c r="B27" s="225"/>
      <c r="C27" s="224"/>
      <c r="D27" s="187"/>
      <c r="E27" s="187"/>
      <c r="F27" s="187"/>
      <c r="G27" s="187"/>
      <c r="H27" s="225"/>
      <c r="I27" s="186"/>
      <c r="J27" s="187"/>
      <c r="K27" s="187"/>
      <c r="L27" s="187"/>
      <c r="M27" s="186"/>
    </row>
    <row r="28" spans="1:13" x14ac:dyDescent="0.35">
      <c r="A28" s="125" t="s">
        <v>142</v>
      </c>
      <c r="B28" s="235">
        <v>1</v>
      </c>
      <c r="C28" s="219" t="s">
        <v>152</v>
      </c>
      <c r="D28" s="188" t="s">
        <v>152</v>
      </c>
      <c r="E28" s="189" t="s">
        <v>153</v>
      </c>
      <c r="G28" s="214" t="s">
        <v>160</v>
      </c>
      <c r="H28" s="227" t="s">
        <v>163</v>
      </c>
      <c r="I28" s="193" t="s">
        <v>156</v>
      </c>
      <c r="J28" s="194" t="s">
        <v>158</v>
      </c>
      <c r="K28" s="194" t="s">
        <v>158</v>
      </c>
      <c r="L28" s="196" t="s">
        <v>167</v>
      </c>
      <c r="M28" s="186"/>
    </row>
    <row r="29" spans="1:13" x14ac:dyDescent="0.35">
      <c r="B29" s="235"/>
      <c r="C29" s="221">
        <v>30000</v>
      </c>
      <c r="D29" s="201">
        <v>70000</v>
      </c>
      <c r="E29" s="203">
        <v>375000</v>
      </c>
      <c r="G29" s="215">
        <v>250000</v>
      </c>
      <c r="H29" s="228">
        <v>30000</v>
      </c>
      <c r="I29" s="206">
        <v>70000</v>
      </c>
      <c r="J29" s="207">
        <v>553000</v>
      </c>
      <c r="K29" s="207">
        <v>553000</v>
      </c>
      <c r="L29" s="209">
        <v>850000</v>
      </c>
      <c r="M29" s="186"/>
    </row>
    <row r="30" spans="1:13" x14ac:dyDescent="0.35">
      <c r="A30" s="125"/>
      <c r="B30" s="236">
        <v>2</v>
      </c>
      <c r="C30" s="224"/>
      <c r="D30" s="190" t="s">
        <v>211</v>
      </c>
      <c r="E30" s="191" t="s">
        <v>155</v>
      </c>
      <c r="G30" s="187"/>
      <c r="H30" s="225"/>
      <c r="I30" s="186"/>
      <c r="J30" s="195" t="s">
        <v>164</v>
      </c>
      <c r="K30" s="195" t="s">
        <v>164</v>
      </c>
      <c r="L30" s="187" t="s">
        <v>212</v>
      </c>
      <c r="M30" s="187" t="s">
        <v>212</v>
      </c>
    </row>
    <row r="31" spans="1:13" x14ac:dyDescent="0.35">
      <c r="A31" s="125"/>
      <c r="B31" s="236"/>
      <c r="C31" s="224"/>
      <c r="D31" s="202">
        <v>113000</v>
      </c>
      <c r="E31" s="204">
        <v>87000</v>
      </c>
      <c r="G31" s="187"/>
      <c r="H31" s="225"/>
      <c r="I31" s="186"/>
      <c r="J31" s="208">
        <v>75000</v>
      </c>
      <c r="K31" s="208">
        <v>75000</v>
      </c>
      <c r="L31" s="247">
        <v>100000</v>
      </c>
      <c r="M31" s="247">
        <v>50000</v>
      </c>
    </row>
    <row r="32" spans="1:13" x14ac:dyDescent="0.35">
      <c r="A32" s="125"/>
      <c r="B32" s="232">
        <v>3</v>
      </c>
      <c r="C32" s="224"/>
      <c r="D32" s="187"/>
      <c r="E32" s="192" t="s">
        <v>159</v>
      </c>
      <c r="F32" s="192" t="s">
        <v>161</v>
      </c>
      <c r="H32" s="225"/>
      <c r="J32" s="187"/>
      <c r="K32" s="187"/>
      <c r="L32" s="187"/>
      <c r="M32" s="186"/>
    </row>
    <row r="33" spans="1:13" x14ac:dyDescent="0.35">
      <c r="A33" s="125"/>
      <c r="B33" s="232"/>
      <c r="C33" s="224"/>
      <c r="D33" s="187"/>
      <c r="E33" s="205">
        <v>30000</v>
      </c>
      <c r="F33" s="226">
        <v>70000</v>
      </c>
      <c r="H33" s="225"/>
      <c r="J33" s="187"/>
      <c r="K33" s="187"/>
      <c r="L33" s="187"/>
      <c r="M33" s="186"/>
    </row>
    <row r="34" spans="1:13" hidden="1" x14ac:dyDescent="0.35">
      <c r="A34" s="125"/>
      <c r="B34" s="227">
        <v>4</v>
      </c>
      <c r="C34" s="224"/>
      <c r="D34" s="187"/>
      <c r="F34" s="187"/>
      <c r="H34" s="225"/>
      <c r="I34" s="186"/>
      <c r="K34" s="187"/>
      <c r="L34" s="187"/>
      <c r="M34" s="186"/>
    </row>
    <row r="35" spans="1:13" hidden="1" x14ac:dyDescent="0.35">
      <c r="A35" s="125"/>
      <c r="B35" s="227"/>
      <c r="C35" s="224"/>
      <c r="D35" s="187"/>
      <c r="F35" s="187"/>
      <c r="H35" s="225"/>
      <c r="I35" s="186"/>
      <c r="K35" s="187"/>
      <c r="L35" s="187"/>
      <c r="M35" s="186"/>
    </row>
    <row r="36" spans="1:13" hidden="1" x14ac:dyDescent="0.35">
      <c r="A36" s="125"/>
      <c r="B36" s="237">
        <v>5</v>
      </c>
      <c r="C36" s="224"/>
      <c r="D36" s="187"/>
      <c r="F36" s="187"/>
      <c r="G36" s="187"/>
      <c r="H36" s="225"/>
      <c r="I36" s="186"/>
      <c r="K36" s="187"/>
      <c r="M36" s="186"/>
    </row>
    <row r="37" spans="1:13" hidden="1" x14ac:dyDescent="0.35">
      <c r="A37" s="125"/>
      <c r="B37" s="237"/>
      <c r="C37" s="224"/>
      <c r="D37" s="187"/>
      <c r="F37" s="187"/>
      <c r="G37" s="187"/>
      <c r="H37" s="225"/>
      <c r="I37" s="186"/>
      <c r="K37" s="187"/>
      <c r="M37" s="186"/>
    </row>
    <row r="38" spans="1:13" hidden="1" x14ac:dyDescent="0.35">
      <c r="A38" s="125"/>
      <c r="B38" s="234" t="s">
        <v>170</v>
      </c>
      <c r="C38" s="224" t="s">
        <v>169</v>
      </c>
      <c r="D38" s="187"/>
      <c r="F38" s="187"/>
      <c r="G38" s="187"/>
      <c r="H38" s="225"/>
      <c r="I38" s="186"/>
      <c r="J38" s="187"/>
      <c r="K38" s="187"/>
      <c r="L38" s="187"/>
      <c r="M38" s="186"/>
    </row>
    <row r="39" spans="1:13" hidden="1" x14ac:dyDescent="0.35">
      <c r="A39" s="125"/>
      <c r="B39" s="225"/>
      <c r="C39" s="224"/>
      <c r="D39" s="187"/>
      <c r="F39" s="187"/>
      <c r="G39" s="187"/>
      <c r="H39" s="225"/>
      <c r="I39" s="186"/>
      <c r="J39" s="187"/>
      <c r="K39" s="187"/>
      <c r="L39" s="187"/>
      <c r="M39" s="186"/>
    </row>
    <row r="40" spans="1:13" hidden="1" x14ac:dyDescent="0.35">
      <c r="A40" s="125"/>
      <c r="B40" s="225"/>
      <c r="C40" s="224"/>
      <c r="D40" s="187"/>
      <c r="F40" s="187"/>
      <c r="G40" s="187"/>
      <c r="H40" s="225"/>
      <c r="I40" s="186"/>
      <c r="J40" s="187"/>
      <c r="K40" s="187"/>
      <c r="L40" s="187"/>
      <c r="M40" s="186"/>
    </row>
    <row r="41" spans="1:13" hidden="1" x14ac:dyDescent="0.35">
      <c r="A41" s="125"/>
      <c r="B41" s="225"/>
      <c r="C41" s="224"/>
      <c r="D41" s="187"/>
      <c r="F41" s="187"/>
      <c r="G41" s="187"/>
      <c r="H41" s="225"/>
      <c r="I41" s="186"/>
      <c r="J41" s="187"/>
      <c r="K41" s="187"/>
      <c r="L41" s="187"/>
      <c r="M41" s="186"/>
    </row>
    <row r="42" spans="1:13" hidden="1" x14ac:dyDescent="0.35">
      <c r="A42" s="125"/>
      <c r="B42" s="225"/>
      <c r="C42" s="224"/>
      <c r="D42" s="187"/>
      <c r="F42" s="187"/>
      <c r="G42" s="187"/>
      <c r="H42" s="225"/>
      <c r="I42" s="186"/>
      <c r="J42" s="187"/>
      <c r="K42" s="187"/>
      <c r="L42" s="187"/>
      <c r="M42" s="186"/>
    </row>
    <row r="43" spans="1:13" ht="15" thickBot="1" x14ac:dyDescent="0.4">
      <c r="A43" s="211"/>
      <c r="B43" s="225"/>
      <c r="C43" s="229"/>
      <c r="D43" s="230"/>
      <c r="E43" s="230"/>
      <c r="F43" s="230"/>
      <c r="G43" s="230"/>
      <c r="H43" s="231"/>
      <c r="I43" s="200"/>
      <c r="J43" s="199"/>
      <c r="K43" s="199"/>
      <c r="L43" s="199"/>
      <c r="M43" s="200"/>
    </row>
    <row r="48" spans="1:13" x14ac:dyDescent="0.35">
      <c r="D48" t="s">
        <v>197</v>
      </c>
    </row>
    <row r="50" spans="4:6" x14ac:dyDescent="0.35">
      <c r="E50" s="246">
        <v>45108</v>
      </c>
      <c r="F50" t="s">
        <v>201</v>
      </c>
    </row>
    <row r="51" spans="4:6" x14ac:dyDescent="0.35">
      <c r="E51" s="246">
        <v>45230</v>
      </c>
      <c r="F51" t="s">
        <v>202</v>
      </c>
    </row>
    <row r="52" spans="4:6" x14ac:dyDescent="0.35">
      <c r="D52" s="245">
        <v>68000</v>
      </c>
      <c r="E52" s="246">
        <v>45322</v>
      </c>
      <c r="F52" t="s">
        <v>198</v>
      </c>
    </row>
    <row r="53" spans="4:6" x14ac:dyDescent="0.35">
      <c r="D53" s="245">
        <v>10000</v>
      </c>
      <c r="E53" s="246">
        <v>45322</v>
      </c>
      <c r="F53" t="s">
        <v>199</v>
      </c>
    </row>
    <row r="54" spans="4:6" x14ac:dyDescent="0.35">
      <c r="D54" s="245">
        <v>35000</v>
      </c>
      <c r="E54" s="246">
        <v>45230</v>
      </c>
      <c r="F54" t="s">
        <v>200</v>
      </c>
    </row>
    <row r="55" spans="4:6" x14ac:dyDescent="0.35">
      <c r="F55" t="s">
        <v>203</v>
      </c>
    </row>
    <row r="56" spans="4:6" x14ac:dyDescent="0.35">
      <c r="D56" s="245">
        <v>35000</v>
      </c>
      <c r="E56" s="246">
        <v>45930</v>
      </c>
      <c r="F56" t="s">
        <v>205</v>
      </c>
    </row>
    <row r="57" spans="4:6" x14ac:dyDescent="0.35">
      <c r="D57" s="245">
        <v>35000</v>
      </c>
      <c r="F57" t="s">
        <v>204</v>
      </c>
    </row>
    <row r="58" spans="4:6" x14ac:dyDescent="0.35">
      <c r="D58" s="245">
        <v>5000</v>
      </c>
      <c r="F58" t="s">
        <v>210</v>
      </c>
    </row>
    <row r="61" spans="4:6" x14ac:dyDescent="0.35">
      <c r="D61" t="s">
        <v>206</v>
      </c>
      <c r="E61" s="246">
        <v>44895</v>
      </c>
      <c r="F61" t="s">
        <v>207</v>
      </c>
    </row>
    <row r="63" spans="4:6" x14ac:dyDescent="0.35">
      <c r="D63" s="245">
        <v>30000</v>
      </c>
      <c r="E63" s="246">
        <v>45107</v>
      </c>
      <c r="F63" t="s">
        <v>208</v>
      </c>
    </row>
    <row r="64" spans="4:6" x14ac:dyDescent="0.35">
      <c r="D64" s="245">
        <v>70000</v>
      </c>
      <c r="E64" s="246">
        <v>45291</v>
      </c>
      <c r="F64" t="s">
        <v>209</v>
      </c>
    </row>
  </sheetData>
  <pageMargins left="0.25" right="0.25" top="0.75" bottom="0.75" header="0.3" footer="0.3"/>
  <pageSetup scale="4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E14B-EA89-4E75-9A8D-78579B106263}">
  <dimension ref="B2:J20"/>
  <sheetViews>
    <sheetView zoomScale="104" workbookViewId="0">
      <selection activeCell="B20" sqref="B20"/>
    </sheetView>
  </sheetViews>
  <sheetFormatPr defaultRowHeight="14.5" outlineLevelRow="2" x14ac:dyDescent="0.35"/>
  <cols>
    <col min="2" max="2" width="38.36328125" customWidth="1"/>
    <col min="9" max="9" width="1.08984375" customWidth="1"/>
  </cols>
  <sheetData>
    <row r="2" spans="2:10" ht="18.5" x14ac:dyDescent="0.45">
      <c r="B2" s="174" t="s">
        <v>120</v>
      </c>
    </row>
    <row r="3" spans="2:10" ht="15" thickBot="1" x14ac:dyDescent="0.4"/>
    <row r="4" spans="2:10" ht="16" thickBot="1" x14ac:dyDescent="0.4">
      <c r="B4" s="161" t="s">
        <v>121</v>
      </c>
      <c r="C4" s="175" t="s">
        <v>4</v>
      </c>
      <c r="D4" s="166" t="s">
        <v>5</v>
      </c>
      <c r="E4" s="166" t="s">
        <v>6</v>
      </c>
      <c r="F4" s="166" t="s">
        <v>7</v>
      </c>
      <c r="G4" s="166" t="s">
        <v>8</v>
      </c>
      <c r="H4" s="167" t="s">
        <v>9</v>
      </c>
    </row>
    <row r="5" spans="2:10" outlineLevel="1" x14ac:dyDescent="0.35">
      <c r="B5" s="84" t="s">
        <v>47</v>
      </c>
      <c r="C5" s="176">
        <v>3</v>
      </c>
      <c r="D5" s="172">
        <v>3</v>
      </c>
      <c r="E5" s="173">
        <v>3</v>
      </c>
      <c r="F5" s="173">
        <v>3</v>
      </c>
      <c r="G5" s="173">
        <v>3</v>
      </c>
      <c r="H5" s="178">
        <v>3</v>
      </c>
      <c r="J5" t="s">
        <v>122</v>
      </c>
    </row>
    <row r="6" spans="2:10" outlineLevel="1" x14ac:dyDescent="0.35">
      <c r="B6" s="77" t="s">
        <v>50</v>
      </c>
      <c r="C6" s="177">
        <v>32</v>
      </c>
      <c r="D6" s="82">
        <v>10</v>
      </c>
      <c r="E6" s="58">
        <v>10</v>
      </c>
      <c r="F6" s="58"/>
      <c r="G6" s="58"/>
      <c r="H6" s="179"/>
      <c r="J6" t="s">
        <v>123</v>
      </c>
    </row>
    <row r="7" spans="2:10" outlineLevel="1" x14ac:dyDescent="0.35">
      <c r="B7" s="77" t="s">
        <v>48</v>
      </c>
      <c r="C7" s="177">
        <v>7</v>
      </c>
      <c r="D7" s="82"/>
      <c r="E7" s="58"/>
      <c r="F7" s="58"/>
      <c r="G7" s="58"/>
      <c r="H7" s="179"/>
    </row>
    <row r="8" spans="2:10" outlineLevel="2" x14ac:dyDescent="0.35">
      <c r="B8" s="77" t="s">
        <v>49</v>
      </c>
      <c r="C8" s="177"/>
      <c r="D8" s="82"/>
      <c r="E8" s="58">
        <v>10</v>
      </c>
      <c r="F8" s="58"/>
      <c r="G8" s="58">
        <v>10</v>
      </c>
      <c r="H8" s="179"/>
      <c r="J8" t="s">
        <v>124</v>
      </c>
    </row>
    <row r="9" spans="2:10" outlineLevel="1" x14ac:dyDescent="0.35">
      <c r="B9" s="77" t="s">
        <v>78</v>
      </c>
      <c r="C9" s="177">
        <v>3</v>
      </c>
      <c r="D9" s="82"/>
      <c r="E9" s="58">
        <v>50</v>
      </c>
      <c r="F9" s="58">
        <v>50</v>
      </c>
      <c r="G9" s="58"/>
      <c r="H9" s="179"/>
      <c r="J9" s="99" t="s">
        <v>125</v>
      </c>
    </row>
    <row r="10" spans="2:10" outlineLevel="1" x14ac:dyDescent="0.35">
      <c r="B10" s="89" t="s">
        <v>118</v>
      </c>
      <c r="C10" s="177">
        <v>60</v>
      </c>
      <c r="D10" s="82">
        <v>40</v>
      </c>
      <c r="E10" s="58">
        <v>150</v>
      </c>
      <c r="F10" s="58">
        <v>50</v>
      </c>
      <c r="G10" s="58"/>
      <c r="H10" s="179"/>
      <c r="J10" t="s">
        <v>126</v>
      </c>
    </row>
    <row r="11" spans="2:10" outlineLevel="1" x14ac:dyDescent="0.35">
      <c r="B11" s="89" t="s">
        <v>119</v>
      </c>
      <c r="C11" s="177"/>
      <c r="D11" s="82"/>
      <c r="E11" s="58">
        <v>100</v>
      </c>
      <c r="F11" s="58"/>
      <c r="G11" s="58"/>
      <c r="H11" s="179"/>
      <c r="J11" s="99" t="s">
        <v>126</v>
      </c>
    </row>
    <row r="12" spans="2:10" outlineLevel="1" x14ac:dyDescent="0.35">
      <c r="B12" s="77" t="s">
        <v>54</v>
      </c>
      <c r="C12" s="177"/>
      <c r="D12" s="82"/>
      <c r="E12" s="58"/>
      <c r="F12" s="58"/>
      <c r="G12" s="58">
        <v>100</v>
      </c>
      <c r="H12" s="179">
        <v>34</v>
      </c>
      <c r="J12" t="s">
        <v>127</v>
      </c>
    </row>
    <row r="13" spans="2:10" outlineLevel="1" x14ac:dyDescent="0.35">
      <c r="B13" s="77" t="s">
        <v>54</v>
      </c>
      <c r="C13" s="177"/>
      <c r="D13" s="82"/>
      <c r="E13" s="58"/>
      <c r="F13" s="58">
        <v>80</v>
      </c>
      <c r="G13" s="58">
        <v>100</v>
      </c>
      <c r="H13" s="179">
        <v>120</v>
      </c>
      <c r="J13" s="99" t="s">
        <v>127</v>
      </c>
    </row>
    <row r="14" spans="2:10" outlineLevel="1" x14ac:dyDescent="0.35">
      <c r="B14" s="184" t="s">
        <v>71</v>
      </c>
      <c r="C14" s="177">
        <v>10</v>
      </c>
      <c r="D14" s="82">
        <v>12</v>
      </c>
      <c r="E14" s="58">
        <v>14</v>
      </c>
      <c r="F14" s="58">
        <v>15</v>
      </c>
      <c r="G14" s="58">
        <v>16</v>
      </c>
      <c r="H14" s="179">
        <v>17</v>
      </c>
      <c r="J14" s="99" t="s">
        <v>129</v>
      </c>
    </row>
    <row r="15" spans="2:10" ht="15" outlineLevel="1" thickBot="1" x14ac:dyDescent="0.4">
      <c r="B15" s="134" t="s">
        <v>87</v>
      </c>
      <c r="C15" s="180">
        <v>5</v>
      </c>
      <c r="D15" s="181">
        <v>7</v>
      </c>
      <c r="E15" s="182">
        <v>7</v>
      </c>
      <c r="F15" s="182">
        <v>7</v>
      </c>
      <c r="G15" s="182">
        <v>7</v>
      </c>
      <c r="H15" s="183">
        <v>7</v>
      </c>
      <c r="J15" t="s">
        <v>128</v>
      </c>
    </row>
    <row r="20" spans="2:2" x14ac:dyDescent="0.35">
      <c r="B20">
        <f>1000000/400</f>
        <v>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25-Year Model</vt:lpstr>
      <vt:lpstr>Billings</vt:lpstr>
      <vt:lpstr>Loan-Project Cycle</vt:lpstr>
      <vt:lpstr>Model CIP</vt:lpstr>
      <vt:lpstr>'25-Year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Currie</dc:creator>
  <cp:lastModifiedBy>Todd Currie</cp:lastModifiedBy>
  <cp:lastPrinted>2023-03-25T19:22:36Z</cp:lastPrinted>
  <dcterms:created xsi:type="dcterms:W3CDTF">2023-02-09T02:07:47Z</dcterms:created>
  <dcterms:modified xsi:type="dcterms:W3CDTF">2023-06-22T04:46:00Z</dcterms:modified>
</cp:coreProperties>
</file>